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0" yWindow="0" windowWidth="19200" windowHeight="7190" firstSheet="4" activeTab="5"/>
  </bookViews>
  <sheets>
    <sheet name="Entry" sheetId="2" r:id="rId1"/>
    <sheet name="Results" sheetId="1" r:id="rId2"/>
    <sheet name="simbios" sheetId="3" r:id="rId3"/>
    <sheet name="stn info" sheetId="4" r:id="rId4"/>
    <sheet name="stats and calculations" sheetId="5" r:id="rId5"/>
    <sheet name="mean chl vs time" sheetId="7" r:id="rId6"/>
    <sheet name="mean pheo vs time" sheetId="8" r:id="rId7"/>
    <sheet name="pheo ove chl vs time" sheetId="9" r:id="rId8"/>
  </sheets>
  <externalReferences>
    <externalReference r:id="rId9"/>
    <externalReference r:id="rId10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5" l="1"/>
  <c r="D57" i="5"/>
  <c r="D72" i="5"/>
  <c r="H77" i="5"/>
  <c r="X14" i="5" s="1"/>
  <c r="H72" i="5"/>
  <c r="H67" i="5"/>
  <c r="H62" i="5"/>
  <c r="P14" i="5" s="1"/>
  <c r="H11" i="5"/>
  <c r="G11" i="5"/>
  <c r="H6" i="5"/>
  <c r="G6" i="5"/>
  <c r="G77" i="5"/>
  <c r="G72" i="5"/>
  <c r="G67" i="5"/>
  <c r="S14" i="5" s="1"/>
  <c r="G62" i="5"/>
  <c r="O14" i="5" s="1"/>
  <c r="H57" i="5"/>
  <c r="G57" i="5"/>
  <c r="H52" i="5"/>
  <c r="N14" i="5" s="1"/>
  <c r="G52" i="5"/>
  <c r="M14" i="5" s="1"/>
  <c r="E77" i="5"/>
  <c r="X5" i="5" s="1"/>
  <c r="D77" i="5"/>
  <c r="E72" i="5"/>
  <c r="E67" i="5"/>
  <c r="T5" i="5" s="1"/>
  <c r="D67" i="5"/>
  <c r="E62" i="5"/>
  <c r="P5" i="5" s="1"/>
  <c r="D62" i="5"/>
  <c r="E52" i="5"/>
  <c r="D52" i="5"/>
  <c r="AA5" i="5"/>
  <c r="AE5" i="5"/>
  <c r="AD5" i="5"/>
  <c r="AC5" i="5"/>
  <c r="Z5" i="5"/>
  <c r="AB5" i="5"/>
  <c r="W14" i="5"/>
  <c r="V14" i="5"/>
  <c r="U14" i="5"/>
  <c r="T14" i="5"/>
  <c r="R14" i="5"/>
  <c r="Q14" i="5"/>
  <c r="W5" i="5"/>
  <c r="V5" i="5"/>
  <c r="U5" i="5"/>
  <c r="S5" i="5"/>
  <c r="R5" i="5"/>
  <c r="Q5" i="5"/>
  <c r="O5" i="5"/>
  <c r="N5" i="5"/>
  <c r="M5" i="5"/>
  <c r="I72" i="5"/>
  <c r="U23" i="5" s="1"/>
  <c r="I77" i="5"/>
  <c r="W23" i="5" s="1"/>
  <c r="F70" i="5"/>
  <c r="F71" i="5"/>
  <c r="F72" i="5"/>
  <c r="F73" i="5"/>
  <c r="F74" i="5"/>
  <c r="F75" i="5"/>
  <c r="F76" i="5"/>
  <c r="F77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B70" i="5"/>
  <c r="B71" i="5"/>
  <c r="B72" i="5"/>
  <c r="B73" i="5"/>
  <c r="B74" i="5"/>
  <c r="B75" i="5"/>
  <c r="B76" i="5"/>
  <c r="B77" i="5"/>
  <c r="A77" i="5"/>
  <c r="A75" i="5"/>
  <c r="A76" i="5"/>
  <c r="A74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F62" i="5"/>
  <c r="F63" i="5"/>
  <c r="F64" i="5"/>
  <c r="F65" i="5"/>
  <c r="F66" i="5"/>
  <c r="F67" i="5"/>
  <c r="F68" i="5"/>
  <c r="F69" i="5"/>
  <c r="I67" i="5"/>
  <c r="S23" i="5" s="1"/>
  <c r="U52" i="1"/>
  <c r="U57" i="1"/>
  <c r="U62" i="1"/>
  <c r="U67" i="1"/>
  <c r="U72" i="1"/>
  <c r="U77" i="1"/>
  <c r="T52" i="1"/>
  <c r="T57" i="1"/>
  <c r="T62" i="1"/>
  <c r="T67" i="1"/>
  <c r="T72" i="1"/>
  <c r="T77" i="1"/>
  <c r="S52" i="1"/>
  <c r="S57" i="1"/>
  <c r="S62" i="1"/>
  <c r="S67" i="1"/>
  <c r="S72" i="1"/>
  <c r="S77" i="1"/>
  <c r="R52" i="1"/>
  <c r="R57" i="1"/>
  <c r="R62" i="1"/>
  <c r="R67" i="1"/>
  <c r="R72" i="1"/>
  <c r="R7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N52" i="1"/>
  <c r="N57" i="1"/>
  <c r="N62" i="1"/>
  <c r="N67" i="1"/>
  <c r="N72" i="1"/>
  <c r="N77" i="1"/>
  <c r="M52" i="1"/>
  <c r="M57" i="1"/>
  <c r="M62" i="1"/>
  <c r="M67" i="1"/>
  <c r="M72" i="1"/>
  <c r="M7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J77" i="5" l="1"/>
  <c r="X23" i="5" s="1"/>
  <c r="J72" i="5"/>
  <c r="V23" i="5" s="1"/>
  <c r="I62" i="5"/>
  <c r="Q23" i="5" s="1"/>
  <c r="J67" i="5"/>
  <c r="T23" i="5" s="1"/>
  <c r="Z2" i="5"/>
  <c r="J38" i="1"/>
  <c r="J39" i="1"/>
  <c r="J40" i="1"/>
  <c r="J41" i="1"/>
  <c r="J42" i="1"/>
  <c r="J43" i="1"/>
  <c r="J44" i="1"/>
  <c r="J45" i="1"/>
  <c r="J46" i="1"/>
  <c r="J47" i="1"/>
  <c r="C38" i="1"/>
  <c r="C39" i="1"/>
  <c r="C40" i="1"/>
  <c r="C41" i="1"/>
  <c r="C42" i="1"/>
  <c r="C43" i="1"/>
  <c r="C44" i="1"/>
  <c r="C45" i="1"/>
  <c r="C46" i="1"/>
  <c r="C47" i="1"/>
  <c r="A38" i="1"/>
  <c r="A39" i="1"/>
  <c r="A40" i="1"/>
  <c r="A41" i="1"/>
  <c r="A42" i="1"/>
  <c r="A43" i="1"/>
  <c r="A44" i="1"/>
  <c r="A45" i="1"/>
  <c r="A46" i="1"/>
  <c r="A47" i="1"/>
  <c r="I4" i="2"/>
  <c r="H3" i="1" s="1"/>
  <c r="I5" i="2"/>
  <c r="H4" i="1" s="1"/>
  <c r="I6" i="2"/>
  <c r="H5" i="1" s="1"/>
  <c r="I7" i="2"/>
  <c r="H6" i="1" s="1"/>
  <c r="I8" i="2"/>
  <c r="H7" i="1" s="1"/>
  <c r="I9" i="2"/>
  <c r="H8" i="1" s="1"/>
  <c r="I10" i="2"/>
  <c r="H9" i="1" s="1"/>
  <c r="I11" i="2"/>
  <c r="H10" i="1" s="1"/>
  <c r="I12" i="2"/>
  <c r="H11" i="1" s="1"/>
  <c r="I13" i="2"/>
  <c r="H12" i="1" s="1"/>
  <c r="I14" i="2"/>
  <c r="H13" i="1" s="1"/>
  <c r="I15" i="2"/>
  <c r="H14" i="1" s="1"/>
  <c r="I16" i="2"/>
  <c r="H15" i="1" s="1"/>
  <c r="I17" i="2"/>
  <c r="H16" i="1" s="1"/>
  <c r="I18" i="2"/>
  <c r="H17" i="1" s="1"/>
  <c r="I19" i="2"/>
  <c r="H18" i="1" s="1"/>
  <c r="I20" i="2"/>
  <c r="H19" i="1" s="1"/>
  <c r="I21" i="2"/>
  <c r="H20" i="1" s="1"/>
  <c r="I22" i="2"/>
  <c r="H21" i="1" s="1"/>
  <c r="I23" i="2"/>
  <c r="H22" i="1" s="1"/>
  <c r="I24" i="2"/>
  <c r="H23" i="1" s="1"/>
  <c r="I25" i="2"/>
  <c r="H24" i="1" s="1"/>
  <c r="I26" i="2"/>
  <c r="H25" i="1" s="1"/>
  <c r="I27" i="2"/>
  <c r="H26" i="1" s="1"/>
  <c r="I28" i="2"/>
  <c r="H27" i="1" s="1"/>
  <c r="I29" i="2"/>
  <c r="H28" i="1" s="1"/>
  <c r="I30" i="2"/>
  <c r="H29" i="1" s="1"/>
  <c r="I31" i="2"/>
  <c r="H30" i="1" s="1"/>
  <c r="I32" i="2"/>
  <c r="H31" i="1" s="1"/>
  <c r="I33" i="2"/>
  <c r="H32" i="1" s="1"/>
  <c r="I34" i="2"/>
  <c r="H33" i="1" s="1"/>
  <c r="I35" i="2"/>
  <c r="H34" i="1" s="1"/>
  <c r="I36" i="2"/>
  <c r="H35" i="1" s="1"/>
  <c r="I37" i="2"/>
  <c r="H36" i="1" s="1"/>
  <c r="I38" i="2"/>
  <c r="H37" i="1" s="1"/>
  <c r="I39" i="2"/>
  <c r="H38" i="1" s="1"/>
  <c r="I40" i="2"/>
  <c r="H39" i="1" s="1"/>
  <c r="I41" i="2"/>
  <c r="H40" i="1" s="1"/>
  <c r="I42" i="2"/>
  <c r="H41" i="1" s="1"/>
  <c r="I43" i="2"/>
  <c r="H42" i="1" s="1"/>
  <c r="I44" i="2"/>
  <c r="H43" i="1" s="1"/>
  <c r="I45" i="2"/>
  <c r="H44" i="1" s="1"/>
  <c r="I46" i="2"/>
  <c r="H45" i="1" s="1"/>
  <c r="I47" i="2"/>
  <c r="H46" i="1" s="1"/>
  <c r="I48" i="2"/>
  <c r="H47" i="1" s="1"/>
  <c r="I49" i="2"/>
  <c r="I50" i="2"/>
  <c r="I51" i="2"/>
  <c r="H4" i="2"/>
  <c r="G3" i="1" s="1"/>
  <c r="H5" i="2"/>
  <c r="G4" i="1" s="1"/>
  <c r="H6" i="2"/>
  <c r="G5" i="1" s="1"/>
  <c r="H7" i="2"/>
  <c r="G6" i="1" s="1"/>
  <c r="H8" i="2"/>
  <c r="G7" i="1" s="1"/>
  <c r="H9" i="2"/>
  <c r="G8" i="1" s="1"/>
  <c r="H10" i="2"/>
  <c r="G9" i="1" s="1"/>
  <c r="H11" i="2"/>
  <c r="G10" i="1" s="1"/>
  <c r="H12" i="2"/>
  <c r="G11" i="1" s="1"/>
  <c r="H13" i="2"/>
  <c r="G12" i="1" s="1"/>
  <c r="H14" i="2"/>
  <c r="G13" i="1" s="1"/>
  <c r="H15" i="2"/>
  <c r="G14" i="1" s="1"/>
  <c r="H16" i="2"/>
  <c r="G15" i="1" s="1"/>
  <c r="H17" i="2"/>
  <c r="G16" i="1" s="1"/>
  <c r="H18" i="2"/>
  <c r="G17" i="1" s="1"/>
  <c r="H19" i="2"/>
  <c r="G18" i="1" s="1"/>
  <c r="H20" i="2"/>
  <c r="G19" i="1" s="1"/>
  <c r="H21" i="2"/>
  <c r="G20" i="1" s="1"/>
  <c r="H22" i="2"/>
  <c r="G21" i="1" s="1"/>
  <c r="H23" i="2"/>
  <c r="G22" i="1" s="1"/>
  <c r="H24" i="2"/>
  <c r="G23" i="1" s="1"/>
  <c r="H25" i="2"/>
  <c r="G24" i="1" s="1"/>
  <c r="H26" i="2"/>
  <c r="G25" i="1" s="1"/>
  <c r="H27" i="2"/>
  <c r="G26" i="1" s="1"/>
  <c r="H28" i="2"/>
  <c r="G27" i="1" s="1"/>
  <c r="H29" i="2"/>
  <c r="G28" i="1" s="1"/>
  <c r="H30" i="2"/>
  <c r="G29" i="1" s="1"/>
  <c r="H31" i="2"/>
  <c r="G30" i="1" s="1"/>
  <c r="H32" i="2"/>
  <c r="G31" i="1" s="1"/>
  <c r="H33" i="2"/>
  <c r="G32" i="1" s="1"/>
  <c r="H34" i="2"/>
  <c r="G33" i="1" s="1"/>
  <c r="H35" i="2"/>
  <c r="G34" i="1" s="1"/>
  <c r="H36" i="2"/>
  <c r="G35" i="1" s="1"/>
  <c r="H37" i="2"/>
  <c r="G36" i="1" s="1"/>
  <c r="H38" i="2"/>
  <c r="G37" i="1" s="1"/>
  <c r="H39" i="2"/>
  <c r="G38" i="1" s="1"/>
  <c r="K38" i="1" s="1"/>
  <c r="H40" i="2"/>
  <c r="G39" i="1" s="1"/>
  <c r="H41" i="2"/>
  <c r="G40" i="1" s="1"/>
  <c r="K40" i="1" s="1"/>
  <c r="H42" i="2"/>
  <c r="G41" i="1" s="1"/>
  <c r="K41" i="1" s="1"/>
  <c r="H43" i="2"/>
  <c r="G42" i="1" s="1"/>
  <c r="K42" i="1" s="1"/>
  <c r="H44" i="2"/>
  <c r="G43" i="1" s="1"/>
  <c r="H45" i="2"/>
  <c r="G44" i="1" s="1"/>
  <c r="H46" i="2"/>
  <c r="G45" i="1" s="1"/>
  <c r="K45" i="1" s="1"/>
  <c r="H47" i="2"/>
  <c r="G46" i="1" s="1"/>
  <c r="K46" i="1" s="1"/>
  <c r="H48" i="2"/>
  <c r="G47" i="1" s="1"/>
  <c r="H49" i="2"/>
  <c r="H50" i="2"/>
  <c r="H51" i="2"/>
  <c r="I3" i="2"/>
  <c r="H3" i="2"/>
  <c r="B33" i="2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32" i="2"/>
  <c r="J62" i="5" l="1"/>
  <c r="R23" i="5" s="1"/>
  <c r="O46" i="1"/>
  <c r="P40" i="1"/>
  <c r="P44" i="1"/>
  <c r="F44" i="5" s="1"/>
  <c r="L46" i="1"/>
  <c r="O42" i="1"/>
  <c r="P45" i="1"/>
  <c r="P41" i="1"/>
  <c r="F41" i="5" s="1"/>
  <c r="O43" i="1"/>
  <c r="Q43" i="1" s="1"/>
  <c r="L43" i="1"/>
  <c r="K43" i="1"/>
  <c r="P47" i="1"/>
  <c r="F47" i="5" s="1"/>
  <c r="P39" i="1"/>
  <c r="S41" i="1" s="1"/>
  <c r="P38" i="1"/>
  <c r="F38" i="5" s="1"/>
  <c r="O38" i="1"/>
  <c r="O47" i="1"/>
  <c r="Q47" i="1" s="1"/>
  <c r="L47" i="1"/>
  <c r="K47" i="1"/>
  <c r="C47" i="5" s="1"/>
  <c r="O39" i="1"/>
  <c r="L39" i="1"/>
  <c r="K39" i="1"/>
  <c r="M41" i="1" s="1"/>
  <c r="O44" i="1"/>
  <c r="L44" i="1"/>
  <c r="P43" i="1"/>
  <c r="F43" i="5" s="1"/>
  <c r="P46" i="1"/>
  <c r="P42" i="1"/>
  <c r="F42" i="5" s="1"/>
  <c r="L42" i="1"/>
  <c r="O40" i="1"/>
  <c r="Q40" i="1" s="1"/>
  <c r="L40" i="1"/>
  <c r="K44" i="1"/>
  <c r="C44" i="5" s="1"/>
  <c r="L38" i="1"/>
  <c r="L45" i="1"/>
  <c r="L41" i="1"/>
  <c r="O45" i="1"/>
  <c r="O41" i="1"/>
  <c r="AE2" i="5"/>
  <c r="AD2" i="5"/>
  <c r="AC2" i="5"/>
  <c r="AB2" i="5"/>
  <c r="F40" i="5"/>
  <c r="F45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C40" i="5"/>
  <c r="C41" i="5"/>
  <c r="C42" i="5"/>
  <c r="C43" i="5"/>
  <c r="C45" i="5"/>
  <c r="C46" i="5"/>
  <c r="C48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2" i="5"/>
  <c r="Q46" i="1" l="1"/>
  <c r="N47" i="1"/>
  <c r="Q41" i="1"/>
  <c r="Q44" i="1"/>
  <c r="Q42" i="1"/>
  <c r="M44" i="1"/>
  <c r="F39" i="5"/>
  <c r="H41" i="5" s="1"/>
  <c r="T13" i="5" s="1"/>
  <c r="D44" i="5"/>
  <c r="U4" i="5" s="1"/>
  <c r="E44" i="5"/>
  <c r="E47" i="5"/>
  <c r="D47" i="5"/>
  <c r="W4" i="5" s="1"/>
  <c r="F46" i="5"/>
  <c r="G47" i="5" s="1"/>
  <c r="G44" i="5"/>
  <c r="H44" i="5"/>
  <c r="V13" i="5" s="1"/>
  <c r="R44" i="1"/>
  <c r="H47" i="5"/>
  <c r="X13" i="5" s="1"/>
  <c r="N44" i="1"/>
  <c r="N41" i="1"/>
  <c r="M47" i="1"/>
  <c r="U44" i="1"/>
  <c r="C39" i="5"/>
  <c r="U47" i="1"/>
  <c r="R47" i="1"/>
  <c r="Q45" i="1"/>
  <c r="T47" i="1" s="1"/>
  <c r="S44" i="1"/>
  <c r="R41" i="1"/>
  <c r="Q39" i="1"/>
  <c r="T41" i="1" s="1"/>
  <c r="U41" i="1"/>
  <c r="Q38" i="1"/>
  <c r="S47" i="1"/>
  <c r="I57" i="5" l="1"/>
  <c r="I52" i="5"/>
  <c r="T44" i="1"/>
  <c r="G41" i="5"/>
  <c r="S13" i="5" s="1"/>
  <c r="I47" i="5"/>
  <c r="W22" i="5" s="1"/>
  <c r="W13" i="5"/>
  <c r="D41" i="5"/>
  <c r="S4" i="5" s="1"/>
  <c r="E41" i="5"/>
  <c r="X4" i="5"/>
  <c r="V4" i="5"/>
  <c r="U13" i="5"/>
  <c r="I44" i="5"/>
  <c r="U22" i="5" s="1"/>
  <c r="J57" i="5" l="1"/>
  <c r="P23" i="5" s="1"/>
  <c r="O23" i="5"/>
  <c r="J52" i="5"/>
  <c r="N23" i="5" s="1"/>
  <c r="M23" i="5"/>
  <c r="J47" i="5"/>
  <c r="X22" i="5" s="1"/>
  <c r="I41" i="5"/>
  <c r="S22" i="5" s="1"/>
  <c r="J44" i="5"/>
  <c r="V22" i="5" s="1"/>
  <c r="T4" i="5"/>
  <c r="J41" i="5" l="1"/>
  <c r="T22" i="5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2" i="1"/>
  <c r="D10" i="2"/>
  <c r="D11" i="2"/>
  <c r="D12" i="2"/>
  <c r="AA2" i="5" s="1"/>
  <c r="D13" i="2"/>
  <c r="D14" i="2"/>
  <c r="D15" i="2"/>
  <c r="Z3" i="5" s="1"/>
  <c r="D16" i="2"/>
  <c r="D17" i="2"/>
  <c r="D18" i="2"/>
  <c r="AB3" i="5" s="1"/>
  <c r="D19" i="2"/>
  <c r="D20" i="2"/>
  <c r="D21" i="2"/>
  <c r="D22" i="2"/>
  <c r="D23" i="2"/>
  <c r="D24" i="2"/>
  <c r="AD3" i="5" s="1"/>
  <c r="D25" i="2"/>
  <c r="D26" i="2"/>
  <c r="D27" i="2"/>
  <c r="AE3" i="5" s="1"/>
  <c r="D28" i="2"/>
  <c r="D29" i="2"/>
  <c r="D30" i="2"/>
  <c r="D31" i="2"/>
  <c r="D32" i="2"/>
  <c r="D33" i="2"/>
  <c r="Z4" i="5" s="1"/>
  <c r="D34" i="2"/>
  <c r="D35" i="2"/>
  <c r="D36" i="2"/>
  <c r="AB4" i="5" s="1"/>
  <c r="D37" i="2"/>
  <c r="D38" i="2"/>
  <c r="D39" i="2"/>
  <c r="D40" i="2"/>
  <c r="D39" i="1" s="1"/>
  <c r="D41" i="2"/>
  <c r="D40" i="1" s="1"/>
  <c r="D42" i="2"/>
  <c r="D43" i="2"/>
  <c r="D42" i="1" s="1"/>
  <c r="D44" i="2"/>
  <c r="D43" i="1" s="1"/>
  <c r="D45" i="2"/>
  <c r="D46" i="2"/>
  <c r="D45" i="1" s="1"/>
  <c r="D47" i="2"/>
  <c r="D46" i="1" s="1"/>
  <c r="D48" i="2"/>
  <c r="D47" i="1" s="1"/>
  <c r="D49" i="2"/>
  <c r="D50" i="2"/>
  <c r="D51" i="2"/>
  <c r="D9" i="2"/>
  <c r="H2" i="1"/>
  <c r="G2" i="1"/>
  <c r="AE4" i="5" l="1"/>
  <c r="D44" i="1"/>
  <c r="AC3" i="5"/>
  <c r="AA3" i="5"/>
  <c r="AC4" i="5"/>
  <c r="AA4" i="5"/>
  <c r="D38" i="1"/>
  <c r="AD4" i="5"/>
  <c r="D41" i="1"/>
  <c r="L35" i="1"/>
  <c r="L6" i="1"/>
  <c r="L7" i="1"/>
  <c r="L8" i="1"/>
  <c r="L10" i="1"/>
  <c r="L12" i="1"/>
  <c r="L14" i="1"/>
  <c r="L15" i="1"/>
  <c r="L16" i="1"/>
  <c r="L18" i="1"/>
  <c r="L19" i="1"/>
  <c r="L20" i="1"/>
  <c r="L22" i="1"/>
  <c r="L23" i="1"/>
  <c r="L24" i="1"/>
  <c r="L26" i="1"/>
  <c r="L28" i="1"/>
  <c r="L30" i="1"/>
  <c r="L31" i="1"/>
  <c r="L32" i="1"/>
  <c r="L34" i="1"/>
  <c r="L3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" i="1"/>
  <c r="L4" i="1"/>
  <c r="L3" i="1"/>
  <c r="K2" i="1"/>
  <c r="C2" i="5" s="1"/>
  <c r="K34" i="1" l="1"/>
  <c r="C34" i="5" s="1"/>
  <c r="K26" i="1"/>
  <c r="C26" i="5" s="1"/>
  <c r="K18" i="1"/>
  <c r="C18" i="5" s="1"/>
  <c r="K10" i="1"/>
  <c r="C10" i="5" s="1"/>
  <c r="L37" i="1"/>
  <c r="N37" i="1" s="1"/>
  <c r="L33" i="1"/>
  <c r="N34" i="1" s="1"/>
  <c r="L29" i="1"/>
  <c r="N31" i="1" s="1"/>
  <c r="L25" i="1"/>
  <c r="N25" i="1" s="1"/>
  <c r="L21" i="1"/>
  <c r="N22" i="1" s="1"/>
  <c r="L17" i="1"/>
  <c r="N19" i="1" s="1"/>
  <c r="L13" i="1"/>
  <c r="L9" i="1"/>
  <c r="N10" i="1" s="1"/>
  <c r="L5" i="1"/>
  <c r="N7" i="1" s="1"/>
  <c r="K33" i="1"/>
  <c r="C33" i="5" s="1"/>
  <c r="K25" i="1"/>
  <c r="C25" i="5" s="1"/>
  <c r="K17" i="1"/>
  <c r="C17" i="5" s="1"/>
  <c r="K9" i="1"/>
  <c r="C9" i="5" s="1"/>
  <c r="K30" i="1"/>
  <c r="C30" i="5" s="1"/>
  <c r="K22" i="1"/>
  <c r="C22" i="5" s="1"/>
  <c r="K14" i="1"/>
  <c r="C14" i="5" s="1"/>
  <c r="K6" i="1"/>
  <c r="C6" i="5" s="1"/>
  <c r="K37" i="1"/>
  <c r="C37" i="5" s="1"/>
  <c r="K29" i="1"/>
  <c r="C29" i="5" s="1"/>
  <c r="K21" i="1"/>
  <c r="C21" i="5" s="1"/>
  <c r="K13" i="1"/>
  <c r="C13" i="5" s="1"/>
  <c r="K5" i="1"/>
  <c r="C5" i="5" s="1"/>
  <c r="N16" i="1"/>
  <c r="K35" i="1"/>
  <c r="C35" i="5" s="1"/>
  <c r="K31" i="1"/>
  <c r="C31" i="5" s="1"/>
  <c r="K27" i="1"/>
  <c r="C27" i="5" s="1"/>
  <c r="K23" i="1"/>
  <c r="C23" i="5" s="1"/>
  <c r="K19" i="1"/>
  <c r="C19" i="5" s="1"/>
  <c r="K15" i="1"/>
  <c r="C15" i="5" s="1"/>
  <c r="K11" i="1"/>
  <c r="C11" i="5" s="1"/>
  <c r="K7" i="1"/>
  <c r="C7" i="5" s="1"/>
  <c r="L27" i="1"/>
  <c r="N28" i="1" s="1"/>
  <c r="L11" i="1"/>
  <c r="K36" i="1"/>
  <c r="C36" i="5" s="1"/>
  <c r="K32" i="1"/>
  <c r="C32" i="5" s="1"/>
  <c r="K28" i="1"/>
  <c r="C28" i="5" s="1"/>
  <c r="K24" i="1"/>
  <c r="K20" i="1"/>
  <c r="K16" i="1"/>
  <c r="K12" i="1"/>
  <c r="C12" i="5" s="1"/>
  <c r="K8" i="1"/>
  <c r="K3" i="1"/>
  <c r="C3" i="5" s="1"/>
  <c r="E6" i="5" s="1"/>
  <c r="K4" i="1"/>
  <c r="C4" i="5" s="1"/>
  <c r="P3" i="1"/>
  <c r="F3" i="5" s="1"/>
  <c r="O5" i="1"/>
  <c r="L2" i="1"/>
  <c r="N4" i="1" s="1"/>
  <c r="P2" i="1"/>
  <c r="F2" i="5" s="1"/>
  <c r="O3" i="1"/>
  <c r="Q3" i="1" s="1"/>
  <c r="O2" i="1"/>
  <c r="D6" i="5" l="1"/>
  <c r="M2" i="5" s="1"/>
  <c r="N2" i="5"/>
  <c r="D17" i="5"/>
  <c r="Q3" i="5" s="1"/>
  <c r="E17" i="5"/>
  <c r="D32" i="5"/>
  <c r="M4" i="5" s="1"/>
  <c r="E32" i="5"/>
  <c r="E35" i="5"/>
  <c r="D35" i="5"/>
  <c r="Q4" i="5" s="1"/>
  <c r="E14" i="5"/>
  <c r="D14" i="5"/>
  <c r="M3" i="5" s="1"/>
  <c r="E11" i="5"/>
  <c r="D11" i="5"/>
  <c r="O2" i="5" s="1"/>
  <c r="E23" i="5"/>
  <c r="D23" i="5"/>
  <c r="S3" i="5" s="1"/>
  <c r="D38" i="5"/>
  <c r="O4" i="5" s="1"/>
  <c r="E38" i="5"/>
  <c r="D29" i="5"/>
  <c r="W3" i="5" s="1"/>
  <c r="E29" i="5"/>
  <c r="D26" i="5"/>
  <c r="E26" i="5"/>
  <c r="D20" i="5"/>
  <c r="O3" i="5" s="1"/>
  <c r="E20" i="5"/>
  <c r="N13" i="1"/>
  <c r="M10" i="1"/>
  <c r="C8" i="5"/>
  <c r="M31" i="1"/>
  <c r="M22" i="1"/>
  <c r="M28" i="1"/>
  <c r="M19" i="1"/>
  <c r="M4" i="1"/>
  <c r="M16" i="1"/>
  <c r="M34" i="1"/>
  <c r="M7" i="1"/>
  <c r="M25" i="1"/>
  <c r="P5" i="1"/>
  <c r="F5" i="5" s="1"/>
  <c r="M13" i="1"/>
  <c r="M37" i="1"/>
  <c r="Q2" i="1"/>
  <c r="O4" i="1"/>
  <c r="U4" i="1" s="1"/>
  <c r="P4" i="1"/>
  <c r="F4" i="5" s="1"/>
  <c r="B48" i="3"/>
  <c r="A1" i="4"/>
  <c r="D45" i="3"/>
  <c r="D57" i="3"/>
  <c r="C57" i="3"/>
  <c r="D55" i="3"/>
  <c r="C55" i="3"/>
  <c r="B7" i="4"/>
  <c r="C6" i="4"/>
  <c r="C44" i="3"/>
  <c r="D43" i="3"/>
  <c r="B4" i="4"/>
  <c r="B3" i="4"/>
  <c r="C2" i="4"/>
  <c r="C35" i="3"/>
  <c r="B1" i="4"/>
  <c r="A2" i="4"/>
  <c r="B57" i="3"/>
  <c r="B54" i="3"/>
  <c r="B51" i="3"/>
  <c r="B45" i="3"/>
  <c r="B40" i="3"/>
  <c r="B39" i="3"/>
  <c r="B37" i="3"/>
  <c r="B36" i="3"/>
  <c r="B33" i="3"/>
  <c r="F33" i="3"/>
  <c r="F34" i="3"/>
  <c r="F32" i="3"/>
  <c r="B58" i="3"/>
  <c r="B53" i="3"/>
  <c r="B52" i="3"/>
  <c r="B50" i="3"/>
  <c r="B49" i="3"/>
  <c r="B47" i="3"/>
  <c r="B46" i="3"/>
  <c r="B44" i="3"/>
  <c r="B43" i="3"/>
  <c r="B42" i="3"/>
  <c r="B41" i="3"/>
  <c r="B38" i="3"/>
  <c r="B35" i="3"/>
  <c r="B34" i="3"/>
  <c r="B32" i="3"/>
  <c r="B56" i="3"/>
  <c r="B55" i="3"/>
  <c r="P3" i="5" l="1"/>
  <c r="X3" i="5"/>
  <c r="R3" i="5"/>
  <c r="T3" i="5"/>
  <c r="P2" i="5"/>
  <c r="R4" i="5"/>
  <c r="V3" i="5"/>
  <c r="P4" i="5"/>
  <c r="N4" i="5"/>
  <c r="U3" i="5"/>
  <c r="N3" i="5"/>
  <c r="S4" i="1"/>
  <c r="Q5" i="1"/>
  <c r="P6" i="1"/>
  <c r="F6" i="5" s="1"/>
  <c r="O6" i="1"/>
  <c r="Q4" i="1"/>
  <c r="T4" i="1" s="1"/>
  <c r="R4" i="1"/>
  <c r="A33" i="3"/>
  <c r="D56" i="3"/>
  <c r="D53" i="3"/>
  <c r="D54" i="3"/>
  <c r="C8" i="4"/>
  <c r="C58" i="3"/>
  <c r="B9" i="4"/>
  <c r="C56" i="3"/>
  <c r="C52" i="3"/>
  <c r="D36" i="3"/>
  <c r="C43" i="3"/>
  <c r="C42" i="3"/>
  <c r="B2" i="4"/>
  <c r="C37" i="3"/>
  <c r="F35" i="3"/>
  <c r="F36" i="3"/>
  <c r="F37" i="3"/>
  <c r="A54" i="3"/>
  <c r="F44" i="3"/>
  <c r="A48" i="3"/>
  <c r="A43" i="3"/>
  <c r="A14" i="3"/>
  <c r="D48" i="3"/>
  <c r="D49" i="3"/>
  <c r="D47" i="3"/>
  <c r="D44" i="3"/>
  <c r="D46" i="3"/>
  <c r="C5" i="4"/>
  <c r="D41" i="3"/>
  <c r="C45" i="3"/>
  <c r="C46" i="3"/>
  <c r="C41" i="3"/>
  <c r="C38" i="3"/>
  <c r="C40" i="3"/>
  <c r="C39" i="3"/>
  <c r="C36" i="3"/>
  <c r="C33" i="3"/>
  <c r="C34" i="3"/>
  <c r="A55" i="3"/>
  <c r="A50" i="3"/>
  <c r="A44" i="3"/>
  <c r="A39" i="3"/>
  <c r="A34" i="3"/>
  <c r="A58" i="3"/>
  <c r="A52" i="3"/>
  <c r="A47" i="3"/>
  <c r="A42" i="3"/>
  <c r="A36" i="3"/>
  <c r="A56" i="3"/>
  <c r="A51" i="3"/>
  <c r="A46" i="3"/>
  <c r="A40" i="3"/>
  <c r="C4" i="4"/>
  <c r="B5" i="4"/>
  <c r="D37" i="3"/>
  <c r="A15" i="3"/>
  <c r="D35" i="3"/>
  <c r="D42" i="3"/>
  <c r="D34" i="3"/>
  <c r="D33" i="3"/>
  <c r="C1" i="4"/>
  <c r="C7" i="4"/>
  <c r="D52" i="3"/>
  <c r="D50" i="3"/>
  <c r="D58" i="3"/>
  <c r="C9" i="4"/>
  <c r="C50" i="3"/>
  <c r="C51" i="3"/>
  <c r="D51" i="3"/>
  <c r="C3" i="4"/>
  <c r="D40" i="3"/>
  <c r="D38" i="3"/>
  <c r="D39" i="3"/>
  <c r="C48" i="3"/>
  <c r="C49" i="3"/>
  <c r="C47" i="3"/>
  <c r="B8" i="4"/>
  <c r="C54" i="3"/>
  <c r="C53" i="3"/>
  <c r="B6" i="4"/>
  <c r="A57" i="3"/>
  <c r="A53" i="3"/>
  <c r="A49" i="3"/>
  <c r="A45" i="3"/>
  <c r="A41" i="3"/>
  <c r="I6" i="5" l="1"/>
  <c r="M20" i="5" s="1"/>
  <c r="M11" i="5"/>
  <c r="P7" i="1"/>
  <c r="O7" i="1"/>
  <c r="Q6" i="1"/>
  <c r="F45" i="3"/>
  <c r="F39" i="3"/>
  <c r="A5" i="4"/>
  <c r="A4" i="4"/>
  <c r="F40" i="3"/>
  <c r="F41" i="3"/>
  <c r="F46" i="3"/>
  <c r="F38" i="3"/>
  <c r="A3" i="4"/>
  <c r="F43" i="3"/>
  <c r="F42" i="3"/>
  <c r="F47" i="3"/>
  <c r="A11" i="3"/>
  <c r="A10" i="3"/>
  <c r="C32" i="3"/>
  <c r="A9" i="3"/>
  <c r="A8" i="3"/>
  <c r="D32" i="3"/>
  <c r="E33" i="3"/>
  <c r="E34" i="3"/>
  <c r="E35" i="3"/>
  <c r="A37" i="3"/>
  <c r="E36" i="3"/>
  <c r="E32" i="3"/>
  <c r="N11" i="5" l="1"/>
  <c r="J6" i="5"/>
  <c r="N20" i="5" s="1"/>
  <c r="S7" i="1"/>
  <c r="F7" i="5"/>
  <c r="Q7" i="1"/>
  <c r="T7" i="1" s="1"/>
  <c r="U7" i="1"/>
  <c r="R7" i="1"/>
  <c r="P8" i="1"/>
  <c r="F8" i="5" s="1"/>
  <c r="O8" i="1"/>
  <c r="F48" i="3"/>
  <c r="A6" i="4"/>
  <c r="F49" i="3"/>
  <c r="F50" i="3"/>
  <c r="E37" i="3"/>
  <c r="P9" i="1" l="1"/>
  <c r="F9" i="5" s="1"/>
  <c r="O9" i="1"/>
  <c r="Q8" i="1"/>
  <c r="F51" i="3"/>
  <c r="F52" i="3"/>
  <c r="F53" i="3"/>
  <c r="A7" i="4"/>
  <c r="E38" i="3"/>
  <c r="Q9" i="1" l="1"/>
  <c r="P10" i="1"/>
  <c r="O10" i="1"/>
  <c r="U10" i="1" s="1"/>
  <c r="F54" i="3"/>
  <c r="F55" i="3"/>
  <c r="A8" i="4"/>
  <c r="E39" i="3"/>
  <c r="A9" i="4"/>
  <c r="F57" i="3"/>
  <c r="F56" i="3"/>
  <c r="F58" i="3"/>
  <c r="S10" i="1" l="1"/>
  <c r="F10" i="5"/>
  <c r="R10" i="1"/>
  <c r="P11" i="1"/>
  <c r="F11" i="5" s="1"/>
  <c r="O11" i="1"/>
  <c r="Q10" i="1"/>
  <c r="T10" i="1" s="1"/>
  <c r="E40" i="3"/>
  <c r="Q11" i="1" l="1"/>
  <c r="P12" i="1"/>
  <c r="F12" i="5" s="1"/>
  <c r="O12" i="1"/>
  <c r="E41" i="3"/>
  <c r="I11" i="5" l="1"/>
  <c r="O20" i="5" s="1"/>
  <c r="O11" i="5"/>
  <c r="P11" i="5"/>
  <c r="Q12" i="1"/>
  <c r="P13" i="1"/>
  <c r="O13" i="1"/>
  <c r="R13" i="1" s="1"/>
  <c r="E42" i="3"/>
  <c r="J11" i="5" l="1"/>
  <c r="P20" i="5" s="1"/>
  <c r="S13" i="1"/>
  <c r="F13" i="5"/>
  <c r="P14" i="1"/>
  <c r="F14" i="5" s="1"/>
  <c r="O14" i="1"/>
  <c r="Q13" i="1"/>
  <c r="T13" i="1" s="1"/>
  <c r="U13" i="1"/>
  <c r="E43" i="3"/>
  <c r="H14" i="5" l="1"/>
  <c r="G14" i="5"/>
  <c r="Q14" i="1"/>
  <c r="P15" i="1"/>
  <c r="F15" i="5" s="1"/>
  <c r="O15" i="1"/>
  <c r="E44" i="3"/>
  <c r="I14" i="5" l="1"/>
  <c r="M21" i="5" s="1"/>
  <c r="M12" i="5"/>
  <c r="N12" i="5"/>
  <c r="Q15" i="1"/>
  <c r="P16" i="1"/>
  <c r="O16" i="1"/>
  <c r="U16" i="1" s="1"/>
  <c r="E45" i="3"/>
  <c r="J14" i="5" l="1"/>
  <c r="N21" i="5" s="1"/>
  <c r="S16" i="1"/>
  <c r="F16" i="5"/>
  <c r="R16" i="1"/>
  <c r="P17" i="1"/>
  <c r="F17" i="5" s="1"/>
  <c r="O17" i="1"/>
  <c r="Q16" i="1"/>
  <c r="T16" i="1" s="1"/>
  <c r="E46" i="3"/>
  <c r="H17" i="5" l="1"/>
  <c r="G17" i="5"/>
  <c r="Q17" i="1"/>
  <c r="P18" i="1"/>
  <c r="F18" i="5" s="1"/>
  <c r="O18" i="1"/>
  <c r="E47" i="3"/>
  <c r="I17" i="5" l="1"/>
  <c r="Q21" i="5" s="1"/>
  <c r="Q12" i="5"/>
  <c r="R12" i="5"/>
  <c r="Q18" i="1"/>
  <c r="P19" i="1"/>
  <c r="O19" i="1"/>
  <c r="E48" i="3"/>
  <c r="J17" i="5" l="1"/>
  <c r="R21" i="5" s="1"/>
  <c r="S19" i="1"/>
  <c r="F19" i="5"/>
  <c r="P20" i="1"/>
  <c r="F20" i="5" s="1"/>
  <c r="O20" i="1"/>
  <c r="Q19" i="1"/>
  <c r="T19" i="1" s="1"/>
  <c r="U19" i="1"/>
  <c r="R19" i="1"/>
  <c r="E49" i="3"/>
  <c r="G20" i="5" l="1"/>
  <c r="H20" i="5"/>
  <c r="Q20" i="1"/>
  <c r="P21" i="1"/>
  <c r="F21" i="5" s="1"/>
  <c r="O21" i="1"/>
  <c r="E50" i="3"/>
  <c r="P12" i="5" l="1"/>
  <c r="I20" i="5"/>
  <c r="O21" i="5" s="1"/>
  <c r="O12" i="5"/>
  <c r="Q21" i="1"/>
  <c r="P22" i="1"/>
  <c r="O22" i="1"/>
  <c r="R22" i="1" s="1"/>
  <c r="E51" i="3"/>
  <c r="J20" i="5" l="1"/>
  <c r="P21" i="5" s="1"/>
  <c r="S22" i="1"/>
  <c r="F22" i="5"/>
  <c r="P23" i="1"/>
  <c r="F23" i="5" s="1"/>
  <c r="O23" i="1"/>
  <c r="Q22" i="1"/>
  <c r="T22" i="1" s="1"/>
  <c r="U22" i="1"/>
  <c r="E52" i="3"/>
  <c r="H23" i="5" l="1"/>
  <c r="G23" i="5"/>
  <c r="Q23" i="1"/>
  <c r="P24" i="1"/>
  <c r="F24" i="5" s="1"/>
  <c r="O24" i="1"/>
  <c r="E53" i="3"/>
  <c r="S12" i="5" l="1"/>
  <c r="I23" i="5"/>
  <c r="S21" i="5" s="1"/>
  <c r="T12" i="5"/>
  <c r="Q24" i="1"/>
  <c r="P25" i="1"/>
  <c r="O25" i="1"/>
  <c r="E54" i="3"/>
  <c r="J23" i="5" l="1"/>
  <c r="T21" i="5" s="1"/>
  <c r="S25" i="1"/>
  <c r="F25" i="5"/>
  <c r="Q25" i="1"/>
  <c r="T25" i="1" s="1"/>
  <c r="U25" i="1"/>
  <c r="R25" i="1"/>
  <c r="P26" i="1"/>
  <c r="F26" i="5" s="1"/>
  <c r="O26" i="1"/>
  <c r="E55" i="3"/>
  <c r="H26" i="5" l="1"/>
  <c r="G26" i="5"/>
  <c r="P27" i="1"/>
  <c r="F27" i="5" s="1"/>
  <c r="O27" i="1"/>
  <c r="Q26" i="1"/>
  <c r="E56" i="3"/>
  <c r="U12" i="5" l="1"/>
  <c r="I26" i="5"/>
  <c r="U21" i="5" s="1"/>
  <c r="V12" i="5"/>
  <c r="Q27" i="1"/>
  <c r="P28" i="1"/>
  <c r="O28" i="1"/>
  <c r="E57" i="3"/>
  <c r="J26" i="5" l="1"/>
  <c r="V21" i="5" s="1"/>
  <c r="S28" i="1"/>
  <c r="F28" i="5"/>
  <c r="P29" i="1"/>
  <c r="F29" i="5" s="1"/>
  <c r="O29" i="1"/>
  <c r="Q28" i="1"/>
  <c r="T28" i="1" s="1"/>
  <c r="U28" i="1"/>
  <c r="R28" i="1"/>
  <c r="E58" i="3"/>
  <c r="A6" i="3"/>
  <c r="A35" i="3"/>
  <c r="A12" i="3"/>
  <c r="A38" i="3"/>
  <c r="A32" i="3"/>
  <c r="A20" i="3" s="1"/>
  <c r="H29" i="5" l="1"/>
  <c r="G29" i="5"/>
  <c r="Q29" i="1"/>
  <c r="P30" i="1"/>
  <c r="F30" i="5" s="1"/>
  <c r="O30" i="1"/>
  <c r="A13" i="3"/>
  <c r="I29" i="5" l="1"/>
  <c r="W21" i="5" s="1"/>
  <c r="W12" i="5"/>
  <c r="X12" i="5"/>
  <c r="Q30" i="1"/>
  <c r="P31" i="1"/>
  <c r="O31" i="1"/>
  <c r="J29" i="5" l="1"/>
  <c r="X21" i="5" s="1"/>
  <c r="S31" i="1"/>
  <c r="F31" i="5"/>
  <c r="Q31" i="1"/>
  <c r="T31" i="1" s="1"/>
  <c r="U31" i="1"/>
  <c r="R31" i="1"/>
  <c r="P32" i="1"/>
  <c r="F32" i="5" s="1"/>
  <c r="O32" i="1"/>
  <c r="G32" i="5" l="1"/>
  <c r="H32" i="5"/>
  <c r="P33" i="1"/>
  <c r="F33" i="5" s="1"/>
  <c r="O33" i="1"/>
  <c r="Q32" i="1"/>
  <c r="N13" i="5" l="1"/>
  <c r="M13" i="5"/>
  <c r="I32" i="5"/>
  <c r="M22" i="5" s="1"/>
  <c r="Q33" i="1"/>
  <c r="P34" i="1"/>
  <c r="O34" i="1"/>
  <c r="U34" i="1" s="1"/>
  <c r="J32" i="5" l="1"/>
  <c r="N22" i="5" s="1"/>
  <c r="S34" i="1"/>
  <c r="F34" i="5"/>
  <c r="P35" i="1"/>
  <c r="F35" i="5" s="1"/>
  <c r="O35" i="1"/>
  <c r="Q34" i="1"/>
  <c r="T34" i="1" s="1"/>
  <c r="R34" i="1"/>
  <c r="H35" i="5" l="1"/>
  <c r="G35" i="5"/>
  <c r="Q35" i="1"/>
  <c r="P36" i="1"/>
  <c r="F36" i="5" s="1"/>
  <c r="O36" i="1"/>
  <c r="Q13" i="5" l="1"/>
  <c r="I35" i="5"/>
  <c r="Q22" i="5" s="1"/>
  <c r="R13" i="5"/>
  <c r="Q36" i="1"/>
  <c r="P37" i="1"/>
  <c r="O37" i="1"/>
  <c r="R37" i="1" s="1"/>
  <c r="J35" i="5" l="1"/>
  <c r="R22" i="5" s="1"/>
  <c r="S37" i="1"/>
  <c r="F37" i="5"/>
  <c r="U37" i="1"/>
  <c r="Q37" i="1"/>
  <c r="T37" i="1" s="1"/>
  <c r="H38" i="5" l="1"/>
  <c r="G38" i="5"/>
  <c r="O13" i="5" l="1"/>
  <c r="I38" i="5"/>
  <c r="O22" i="5" s="1"/>
  <c r="P13" i="5"/>
  <c r="J38" i="5" l="1"/>
  <c r="P22" i="5" s="1"/>
</calcChain>
</file>

<file path=xl/comments1.xml><?xml version="1.0" encoding="utf-8"?>
<comments xmlns="http://schemas.openxmlformats.org/spreadsheetml/2006/main">
  <authors>
    <author>Bruce Bowler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Bruce Bowler:</t>
        </r>
        <r>
          <rPr>
            <sz val="8"/>
            <color indexed="81"/>
            <rFont val="Tahoma"/>
            <family val="2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<sst xmlns="http://schemas.openxmlformats.org/spreadsheetml/2006/main" count="341" uniqueCount="138">
  <si>
    <t>Sample #</t>
  </si>
  <si>
    <t>Filter</t>
  </si>
  <si>
    <t>Date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</si>
  <si>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</si>
  <si>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</si>
  <si>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</si>
  <si>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</si>
  <si>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</si>
  <si>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</si>
  <si>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</si>
  <si>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</si>
  <si>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</si>
  <si>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</si>
  <si>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</si>
  <si>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</si>
  <si>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</si>
  <si>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</si>
  <si>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</si>
  <si>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</si>
  <si>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</si>
  <si>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</si>
  <si>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</si>
  <si>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</si>
  <si>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</si>
  <si>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</si>
  <si>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</si>
  <si>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</si>
  <si>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</si>
  <si>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</si>
  <si>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</si>
  <si>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</si>
  <si>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</si>
  <si>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</si>
  <si>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</si>
  <si>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</si>
  <si>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</si>
  <si>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</si>
  <si>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</si>
  <si>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</si>
  <si>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</si>
  <si>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</si>
  <si>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</si>
  <si>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</si>
  <si>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</si>
  <si>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</si>
  <si>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>Blank</t>
  </si>
  <si>
    <t>Factor
tau/(tau-1)</t>
  </si>
  <si>
    <t>scale</t>
  </si>
  <si>
    <t>corr fb</t>
  </si>
  <si>
    <t>corr fa</t>
  </si>
  <si>
    <t>Dev. Chla</t>
  </si>
  <si>
    <t xml:space="preserve">Cruise: </t>
  </si>
  <si>
    <t>Enter data in green cells only!</t>
  </si>
  <si>
    <t>TN376 UW</t>
  </si>
  <si>
    <t>control 1</t>
  </si>
  <si>
    <t>control 2</t>
  </si>
  <si>
    <t>control 3</t>
  </si>
  <si>
    <t>NO3 4</t>
  </si>
  <si>
    <t>NO3 5</t>
  </si>
  <si>
    <t>NO3 6</t>
  </si>
  <si>
    <t>SAMW 7</t>
  </si>
  <si>
    <t>SAMW 8</t>
  </si>
  <si>
    <t>SAMW 9</t>
  </si>
  <si>
    <t>Si 10</t>
  </si>
  <si>
    <t>Si 11</t>
  </si>
  <si>
    <t>Si 12</t>
  </si>
  <si>
    <t>Fe + Si 13</t>
  </si>
  <si>
    <t>Fe + Si 14</t>
  </si>
  <si>
    <t>Fe + Si 15</t>
  </si>
  <si>
    <t>Fe 16</t>
  </si>
  <si>
    <t>Fe 17</t>
  </si>
  <si>
    <t>Fe 18</t>
  </si>
  <si>
    <t>Time from T0</t>
  </si>
  <si>
    <t>Treatment</t>
  </si>
  <si>
    <t>Time From 0</t>
  </si>
  <si>
    <t>Sample</t>
  </si>
  <si>
    <t>chl (ug/L)</t>
  </si>
  <si>
    <t>mean chl</t>
  </si>
  <si>
    <t>SD chl</t>
  </si>
  <si>
    <t>mean Pheo</t>
  </si>
  <si>
    <t>SD Phaeo</t>
  </si>
  <si>
    <t>Pheo/chl</t>
  </si>
  <si>
    <t>SD Phaeo/Chl</t>
  </si>
  <si>
    <t>mean chl (ug/L)</t>
  </si>
  <si>
    <t>control</t>
  </si>
  <si>
    <t>SD control</t>
  </si>
  <si>
    <t>SAMW</t>
  </si>
  <si>
    <t>SD SAMW</t>
  </si>
  <si>
    <t>NO3</t>
  </si>
  <si>
    <t>SD NO3</t>
  </si>
  <si>
    <t>Si</t>
  </si>
  <si>
    <t>SD Si</t>
  </si>
  <si>
    <t>Fe + Si</t>
  </si>
  <si>
    <t>SD Fe+Si</t>
  </si>
  <si>
    <t>Fe</t>
  </si>
  <si>
    <t>SD Fe</t>
  </si>
  <si>
    <t>T from 0 (hrs)</t>
  </si>
  <si>
    <t>mean pheo</t>
  </si>
  <si>
    <t>pheo/chl</t>
  </si>
  <si>
    <t>summary stats</t>
  </si>
  <si>
    <t>control 1a</t>
  </si>
  <si>
    <t>control 1b</t>
  </si>
  <si>
    <t>control 3a</t>
  </si>
  <si>
    <t>control 3b</t>
  </si>
  <si>
    <t>SAMW 8a</t>
  </si>
  <si>
    <t>SAMW 8b</t>
  </si>
  <si>
    <t>SAMW 9a</t>
  </si>
  <si>
    <t>SAMW 9b</t>
  </si>
  <si>
    <t>599a</t>
  </si>
  <si>
    <t>599b</t>
  </si>
  <si>
    <t>601a</t>
  </si>
  <si>
    <t>601b</t>
  </si>
  <si>
    <t>603a</t>
  </si>
  <si>
    <t>603b</t>
  </si>
  <si>
    <t>604a</t>
  </si>
  <si>
    <t>604b</t>
  </si>
  <si>
    <t>L</t>
  </si>
  <si>
    <t>M</t>
  </si>
  <si>
    <t>!=Results!K16</t>
  </si>
  <si>
    <t>!=Results!K20</t>
  </si>
  <si>
    <t>!=Results!K24</t>
  </si>
  <si>
    <t>!=Results!K38</t>
  </si>
  <si>
    <t>control 1c</t>
  </si>
  <si>
    <t>NO3 3a</t>
  </si>
  <si>
    <t>NO3 3b</t>
  </si>
  <si>
    <t>NO3 3c</t>
  </si>
  <si>
    <t>SAMW 7a</t>
  </si>
  <si>
    <t>SAMW 7b</t>
  </si>
  <si>
    <t>SAMW 7c</t>
  </si>
  <si>
    <t>Si 10 a</t>
  </si>
  <si>
    <t>Si 10 b</t>
  </si>
  <si>
    <t>Si 10 c</t>
  </si>
  <si>
    <t>Fe + Si 13a</t>
  </si>
  <si>
    <t>Fe + Si 13b</t>
  </si>
  <si>
    <t>Fe + Si 13c</t>
  </si>
  <si>
    <t>Fe 16a</t>
  </si>
  <si>
    <t>Fe 16b</t>
  </si>
  <si>
    <t>Fe 16c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</si>
</sst>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_)"/>
    <numFmt numFmtId="165" formatCode="0_)"/>
    <numFmt numFmtId="166" formatCode="0.00_)"/>
    <numFmt numFmtId="167" formatCode="0.000_)"/>
    <numFmt numFmtId="168" formatCode="0.0"/>
    <numFmt numFmtId="169" formatCode="0.0000"/>
    <numFmt numFmtId="170" formatCode="yyyymmdd"/>
    <numFmt numFmtId="171" formatCode="h:mm;@"/>
    <numFmt numFmtId="172" formatCode="0.000"/>
    <numFmt numFmtId="173" formatCode="m/d/yy\ h:mm;@"/>
    <numFmt numFmtId="174" formatCode="[h]:mm:ss;@"/>
  </numFmts>
  <fonts count="8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Geneva"/>
    </font>
    <font>
      <sz val="10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8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 wrapText="1"/>
    </xf>
    <xf numFmtId="168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>
      <alignment horizontal="center"/>
    </xf>
    <xf numFmtId="0" fontId="0" fillId="0" borderId="0" xfId="0" applyFill="1"/>
    <xf numFmtId="0" fontId="0" fillId="2" borderId="0" xfId="0" applyFill="1" applyProtection="1">
      <protection locked="0"/>
    </xf>
    <xf numFmtId="14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/>
    <xf numFmtId="170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169" fontId="0" fillId="0" borderId="0" xfId="0" applyNumberFormat="1"/>
    <xf numFmtId="2" fontId="7" fillId="0" borderId="0" xfId="0" applyNumberFormat="1" applyFont="1"/>
    <xf numFmtId="0" fontId="7" fillId="0" borderId="0" xfId="0" applyFont="1"/>
    <xf numFmtId="171" fontId="0" fillId="0" borderId="0" xfId="0" applyNumberFormat="1"/>
    <xf numFmtId="17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172" fontId="2" fillId="0" borderId="0" xfId="0" applyNumberFormat="1" applyFont="1" applyAlignment="1" applyProtection="1">
      <alignment horizontal="center"/>
    </xf>
    <xf numFmtId="172" fontId="2" fillId="0" borderId="0" xfId="0" applyNumberFormat="1" applyFont="1" applyAlignment="1" applyProtection="1">
      <alignment horizontal="center" wrapText="1"/>
    </xf>
    <xf numFmtId="172" fontId="2" fillId="0" borderId="0" xfId="0" applyNumberFormat="1" applyFont="1" applyAlignment="1">
      <alignment horizontal="center" wrapText="1"/>
    </xf>
    <xf numFmtId="172" fontId="0" fillId="0" borderId="0" xfId="0" applyNumberFormat="1" applyAlignment="1" applyProtection="1">
      <alignment horizontal="center"/>
    </xf>
    <xf numFmtId="172" fontId="0" fillId="0" borderId="0" xfId="0" applyNumberFormat="1"/>
    <xf numFmtId="173" fontId="0" fillId="2" borderId="0" xfId="0" applyNumberFormat="1" applyFill="1" applyProtection="1">
      <protection locked="0"/>
    </xf>
    <xf numFmtId="174" fontId="0" fillId="2" borderId="0" xfId="0" applyNumberFormat="1" applyFill="1" applyProtection="1">
      <protection locked="0"/>
    </xf>
    <xf numFmtId="174" fontId="0" fillId="0" borderId="0" xfId="0" applyNumberFormat="1"/>
    <xf numFmtId="1" fontId="2" fillId="0" borderId="0" xfId="0" applyNumberFormat="1" applyFont="1" applyAlignment="1" applyProtection="1">
      <alignment horizontal="center" wrapText="1"/>
    </xf>
    <xf numFmtId="1" fontId="2" fillId="0" borderId="0" xfId="0" applyNumberFormat="1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169" fontId="2" fillId="0" borderId="0" xfId="0" applyNumberFormat="1" applyFont="1" applyAlignment="1" applyProtection="1">
      <alignment horizontal="center" wrapText="1"/>
    </xf>
    <xf numFmtId="2" fontId="2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Chl</a:t>
            </a:r>
            <a:r>
              <a:rPr lang="en-US" sz="2400" baseline="0">
                <a:solidFill>
                  <a:sysClr val="windowText" lastClr="000000"/>
                </a:solidFill>
              </a:rPr>
              <a:t> </a:t>
            </a:r>
            <a:r>
              <a:rPr lang="en-US" sz="2400" i="1" baseline="0">
                <a:solidFill>
                  <a:sysClr val="windowText" lastClr="000000"/>
                </a:solidFill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</a:rPr>
              <a:t>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09361073267601"/>
          <c:y val="8.2535433070866138E-2"/>
          <c:w val="0.69926276224402595"/>
          <c:h val="0.774491529467907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0.28926546395322106"/>
                  <c:y val="2.611470404654651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0.0968x + 0.9464</a:t>
                    </a:r>
                    <a:br>
                      <a:rPr lang="en-US" baseline="0"/>
                    </a:br>
                    <a:r>
                      <a:rPr lang="en-US" baseline="0"/>
                      <a:t>R² = 0.5336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calculations'!$N$2:$N$5</c:f>
                <c:numCache>
                  <c:formatCode>General</c:formatCode>
                  <c:ptCount val="4"/>
                  <c:pt idx="0">
                    <c:v>4.1633319989322687E-3</c:v>
                  </c:pt>
                  <c:pt idx="1">
                    <c:v>4.450842616853589E-2</c:v>
                  </c:pt>
                  <c:pt idx="2">
                    <c:v>3.5697805721547696E-2</c:v>
                  </c:pt>
                  <c:pt idx="3">
                    <c:v>2.3611437906235173E-2</c:v>
                  </c:pt>
                </c:numCache>
              </c:numRef>
            </c:plus>
            <c:minus>
              <c:numRef>
                <c:f>'stats and calculations'!$N$2:$N$5</c:f>
                <c:numCache>
                  <c:formatCode>General</c:formatCode>
                  <c:ptCount val="4"/>
                  <c:pt idx="0">
                    <c:v>4.1633319989322687E-3</c:v>
                  </c:pt>
                  <c:pt idx="1">
                    <c:v>4.450842616853589E-2</c:v>
                  </c:pt>
                  <c:pt idx="2">
                    <c:v>3.5697805721547696E-2</c:v>
                  </c:pt>
                  <c:pt idx="3">
                    <c:v>2.3611437906235173E-2</c:v>
                  </c:pt>
                </c:numCache>
              </c:numRef>
            </c:minus>
          </c:errBars>
          <c:xVal>
            <c:numRef>
              <c:f>'stats and calculations'!$Z$2:$Z$5</c:f>
              <c:numCache>
                <c:formatCode>[h]:mm:ss;@</c:formatCode>
                <c:ptCount val="4"/>
                <c:pt idx="0">
                  <c:v>0</c:v>
                </c:pt>
                <c:pt idx="1">
                  <c:v>2.2166666666671517</c:v>
                </c:pt>
                <c:pt idx="2">
                  <c:v>3.1395833333372138</c:v>
                </c:pt>
                <c:pt idx="3">
                  <c:v>4.132638888891961</c:v>
                </c:pt>
              </c:numCache>
            </c:numRef>
          </c:xVal>
          <c:yVal>
            <c:numRef>
              <c:f>'stats and calculations'!$M$2:$M$5</c:f>
              <c:numCache>
                <c:formatCode>General</c:formatCode>
                <c:ptCount val="4"/>
                <c:pt idx="0">
                  <c:v>0.24233333333333337</c:v>
                </c:pt>
                <c:pt idx="1">
                  <c:v>0.27200000000000002</c:v>
                </c:pt>
                <c:pt idx="2">
                  <c:v>0.22933333333333331</c:v>
                </c:pt>
                <c:pt idx="3">
                  <c:v>0.25000000000000006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Control</c:v>
                </c15:tx>
              </c15:filteredSeriesTitle>
            </c:ext>
            <c:ext xmlns:c16="http://schemas.microsoft.com/office/drawing/2014/chart" uri="{C3380CC4-5D6E-409C-BE32-E72D297353CC}">
              <c16:uniqueId val="{0000000D-FF47-4428-81A9-7B8A43C8A07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8422080308314196"/>
                  <c:y val="0.1304104434020878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+SAMW; y = 0.2072x + 0.5777</a:t>
                    </a:r>
                    <a:br>
                      <a:rPr lang="en-US" baseline="0"/>
                    </a:br>
                    <a:r>
                      <a:rPr lang="en-US" baseline="0"/>
                      <a:t>R² = 0.3278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calculations'!$P$2:$P$5</c:f>
                <c:numCache>
                  <c:formatCode>General</c:formatCode>
                  <c:ptCount val="4"/>
                  <c:pt idx="0">
                    <c:v>4.5092497528229124E-3</c:v>
                  </c:pt>
                  <c:pt idx="1">
                    <c:v>1.9091883092036802E-2</c:v>
                  </c:pt>
                  <c:pt idx="2">
                    <c:v>2.2627416997969503E-2</c:v>
                  </c:pt>
                  <c:pt idx="3">
                    <c:v>3.9708941058658354E-2</c:v>
                  </c:pt>
                </c:numCache>
              </c:numRef>
            </c:plus>
            <c:minus>
              <c:numRef>
                <c:f>'stats and calculations'!$P$2:$P$5</c:f>
                <c:numCache>
                  <c:formatCode>General</c:formatCode>
                  <c:ptCount val="4"/>
                  <c:pt idx="0">
                    <c:v>4.5092497528229124E-3</c:v>
                  </c:pt>
                  <c:pt idx="1">
                    <c:v>1.9091883092036802E-2</c:v>
                  </c:pt>
                  <c:pt idx="2">
                    <c:v>2.2627416997969503E-2</c:v>
                  </c:pt>
                  <c:pt idx="3">
                    <c:v>3.9708941058658354E-2</c:v>
                  </c:pt>
                </c:numCache>
              </c:numRef>
            </c:minus>
          </c:errBars>
          <c:xVal>
            <c:numRef>
              <c:f>'stats and calculations'!$AA$2:$AA$5</c:f>
              <c:numCache>
                <c:formatCode>[h]:mm:ss;@</c:formatCode>
                <c:ptCount val="4"/>
                <c:pt idx="0">
                  <c:v>1.1805555557657499E-2</c:v>
                </c:pt>
                <c:pt idx="1">
                  <c:v>2.2381944444423425</c:v>
                </c:pt>
                <c:pt idx="2">
                  <c:v>3.1597222222262644</c:v>
                </c:pt>
                <c:pt idx="3">
                  <c:v>4.163888888891961</c:v>
                </c:pt>
              </c:numCache>
            </c:numRef>
          </c:xVal>
          <c:yVal>
            <c:numRef>
              <c:f>'stats and calculations'!$O$2:$O$5</c:f>
              <c:numCache>
                <c:formatCode>General</c:formatCode>
                <c:ptCount val="4"/>
                <c:pt idx="0">
                  <c:v>0.21366666666666667</c:v>
                </c:pt>
                <c:pt idx="1">
                  <c:v>0.38650000000000001</c:v>
                </c:pt>
                <c:pt idx="2">
                  <c:v>0.29700000000000004</c:v>
                </c:pt>
                <c:pt idx="3">
                  <c:v>0.22459999999999999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+SAMW</c:v>
                </c15:tx>
              </c15:filteredSeriesTitle>
            </c:ext>
            <c:ext xmlns:c16="http://schemas.microsoft.com/office/drawing/2014/chart" uri="{C3380CC4-5D6E-409C-BE32-E72D297353CC}">
              <c16:uniqueId val="{0000000F-FF47-4428-81A9-7B8A43C8A07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0.28803583580089948"/>
                  <c:y val="0.4118969475227978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+NO3i; y = 0.2668x + 0.4678</a:t>
                    </a:r>
                    <a:br>
                      <a:rPr lang="en-US" baseline="0"/>
                    </a:br>
                    <a:r>
                      <a:rPr lang="en-US" baseline="0"/>
                      <a:t>R² = 0.5363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calculations'!$R$12:$R$14</c:f>
                <c:numCache>
                  <c:formatCode>General</c:formatCode>
                  <c:ptCount val="3"/>
                  <c:pt idx="0">
                    <c:v>2.7447777531923886E-2</c:v>
                  </c:pt>
                  <c:pt idx="1">
                    <c:v>2.0794021006640243E-2</c:v>
                  </c:pt>
                  <c:pt idx="2">
                    <c:v>3.1208252302807361E-2</c:v>
                  </c:pt>
                </c:numCache>
              </c:numRef>
            </c:plus>
            <c:minus>
              <c:numRef>
                <c:f>'stats and calculations'!$R$12:$R$14</c:f>
                <c:numCache>
                  <c:formatCode>General</c:formatCode>
                  <c:ptCount val="3"/>
                  <c:pt idx="0">
                    <c:v>2.7447777531923886E-2</c:v>
                  </c:pt>
                  <c:pt idx="1">
                    <c:v>2.0794021006640243E-2</c:v>
                  </c:pt>
                  <c:pt idx="2">
                    <c:v>3.1208252302807361E-2</c:v>
                  </c:pt>
                </c:numCache>
              </c:numRef>
            </c:minus>
          </c:errBars>
          <c:xVal>
            <c:numRef>
              <c:f>'stats and calculations'!$AB$2:$AB$5</c:f>
              <c:numCache>
                <c:formatCode>[h]:mm:ss;@</c:formatCode>
                <c:ptCount val="4"/>
                <c:pt idx="0">
                  <c:v>0</c:v>
                </c:pt>
                <c:pt idx="1">
                  <c:v>2.226388888891961</c:v>
                </c:pt>
                <c:pt idx="2">
                  <c:v>3.1472222222218988</c:v>
                </c:pt>
                <c:pt idx="3">
                  <c:v>4.1430555555562023</c:v>
                </c:pt>
              </c:numCache>
            </c:numRef>
          </c:xVal>
          <c:yVal>
            <c:numRef>
              <c:f>'stats and calculations'!$Q$2:$Q$5</c:f>
              <c:numCache>
                <c:formatCode>General</c:formatCode>
                <c:ptCount val="4"/>
                <c:pt idx="0">
                  <c:v>0.24233333333333337</c:v>
                </c:pt>
                <c:pt idx="1">
                  <c:v>0.48750000000000004</c:v>
                </c:pt>
                <c:pt idx="2">
                  <c:v>0.45266666666666672</c:v>
                </c:pt>
                <c:pt idx="3">
                  <c:v>0.42720000000000002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+NO3</c:v>
                </c15:tx>
              </c15:filteredSeriesTitle>
            </c:ext>
            <c:ext xmlns:c16="http://schemas.microsoft.com/office/drawing/2014/chart" uri="{C3380CC4-5D6E-409C-BE32-E72D297353CC}">
              <c16:uniqueId val="{00000011-FF47-4428-81A9-7B8A43C8A075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/>
            </c:spPr>
            <c:trendlineType val="linear"/>
            <c:dispRSqr val="1"/>
            <c:dispEq val="1"/>
            <c:trendlineLbl>
              <c:layout>
                <c:manualLayout>
                  <c:x val="0.28140237625005654"/>
                  <c:y val="6.956323542524667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+Si; y = 0.2083x + 0.5008</a:t>
                    </a:r>
                    <a:br>
                      <a:rPr lang="en-US" baseline="0"/>
                    </a:br>
                    <a:r>
                      <a:rPr lang="en-US" baseline="0"/>
                      <a:t>R² = 0.4281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calculations'!$T$3:$T$5</c:f>
                <c:numCache>
                  <c:formatCode>General</c:formatCode>
                  <c:ptCount val="3"/>
                  <c:pt idx="0">
                    <c:v>2.2810816147901085E-2</c:v>
                  </c:pt>
                  <c:pt idx="1">
                    <c:v>3.5388321990924274E-2</c:v>
                  </c:pt>
                  <c:pt idx="2">
                    <c:v>3.3358657047309281E-2</c:v>
                  </c:pt>
                </c:numCache>
              </c:numRef>
            </c:plus>
            <c:minus>
              <c:numRef>
                <c:f>'stats and calculations'!$T$3:$T$5</c:f>
                <c:numCache>
                  <c:formatCode>General</c:formatCode>
                  <c:ptCount val="3"/>
                  <c:pt idx="0">
                    <c:v>2.2810816147901085E-2</c:v>
                  </c:pt>
                  <c:pt idx="1">
                    <c:v>3.5388321990924274E-2</c:v>
                  </c:pt>
                  <c:pt idx="2">
                    <c:v>3.3358657047309281E-2</c:v>
                  </c:pt>
                </c:numCache>
              </c:numRef>
            </c:minus>
          </c:errBars>
          <c:xVal>
            <c:numRef>
              <c:f>'stats and calculations'!$AC$2:$AC$5</c:f>
              <c:numCache>
                <c:formatCode>[h]:mm:ss;@</c:formatCode>
                <c:ptCount val="4"/>
                <c:pt idx="0">
                  <c:v>0</c:v>
                </c:pt>
                <c:pt idx="1">
                  <c:v>2.2381944444423425</c:v>
                </c:pt>
                <c:pt idx="2">
                  <c:v>3.1597222222262644</c:v>
                </c:pt>
                <c:pt idx="3">
                  <c:v>4.1847222222204437</c:v>
                </c:pt>
              </c:numCache>
            </c:numRef>
          </c:xVal>
          <c:yVal>
            <c:numRef>
              <c:f>'stats and calculations'!$S$2:$S$5</c:f>
              <c:numCache>
                <c:formatCode>General</c:formatCode>
                <c:ptCount val="4"/>
                <c:pt idx="0">
                  <c:v>0.24233333333333337</c:v>
                </c:pt>
                <c:pt idx="1">
                  <c:v>0.16666666666666666</c:v>
                </c:pt>
                <c:pt idx="2">
                  <c:v>0.14933333333333332</c:v>
                </c:pt>
                <c:pt idx="3">
                  <c:v>0.1744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+Si</c:v>
                </c15:tx>
              </c15:filteredSeriesTitle>
            </c:ext>
            <c:ext xmlns:c16="http://schemas.microsoft.com/office/drawing/2014/chart" uri="{C3380CC4-5D6E-409C-BE32-E72D297353CC}">
              <c16:uniqueId val="{00000013-FF47-4428-81A9-7B8A43C8A075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7932433468045365"/>
                  <c:y val="8.852973839520000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Fe+Si; y = 0.2632x + 0.4422</a:t>
                    </a:r>
                    <a:br>
                      <a:rPr lang="en-US" baseline="0"/>
                    </a:br>
                    <a:r>
                      <a:rPr lang="en-US" baseline="0"/>
                      <a:t>R² = 0.5633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calculations'!$V$3:$V$5</c:f>
                <c:numCache>
                  <c:formatCode>General</c:formatCode>
                  <c:ptCount val="3"/>
                  <c:pt idx="0">
                    <c:v>1.2020815280171319E-2</c:v>
                  </c:pt>
                  <c:pt idx="1">
                    <c:v>1.7521415467935082E-2</c:v>
                  </c:pt>
                  <c:pt idx="2">
                    <c:v>8.6429161745327707E-3</c:v>
                  </c:pt>
                </c:numCache>
              </c:numRef>
            </c:plus>
            <c:minus>
              <c:numRef>
                <c:f>'stats and calculations'!$V$3:$V$5</c:f>
                <c:numCache>
                  <c:formatCode>General</c:formatCode>
                  <c:ptCount val="3"/>
                  <c:pt idx="0">
                    <c:v>1.2020815280171319E-2</c:v>
                  </c:pt>
                  <c:pt idx="1">
                    <c:v>1.7521415467935082E-2</c:v>
                  </c:pt>
                  <c:pt idx="2">
                    <c:v>8.6429161745327707E-3</c:v>
                  </c:pt>
                </c:numCache>
              </c:numRef>
            </c:minus>
          </c:errBars>
          <c:xVal>
            <c:numRef>
              <c:f>'stats and calculations'!$AD$2:$AD$5</c:f>
              <c:numCache>
                <c:formatCode>[h]:mm:ss;@</c:formatCode>
                <c:ptCount val="4"/>
                <c:pt idx="0">
                  <c:v>0</c:v>
                </c:pt>
                <c:pt idx="1">
                  <c:v>2.2562499999985448</c:v>
                </c:pt>
                <c:pt idx="2">
                  <c:v>3.1777777777751908</c:v>
                </c:pt>
                <c:pt idx="3">
                  <c:v>4.2055555555562023</c:v>
                </c:pt>
              </c:numCache>
            </c:numRef>
          </c:xVal>
          <c:yVal>
            <c:numRef>
              <c:f>'stats and calculations'!$U$2:$U$5</c:f>
              <c:numCache>
                <c:formatCode>General</c:formatCode>
                <c:ptCount val="4"/>
                <c:pt idx="0">
                  <c:v>0.24233333333333337</c:v>
                </c:pt>
                <c:pt idx="1">
                  <c:v>0.1565</c:v>
                </c:pt>
                <c:pt idx="2">
                  <c:v>0.14000000000000001</c:v>
                </c:pt>
                <c:pt idx="3">
                  <c:v>0.14720000000000003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+Fe+Si</c:v>
                </c15:tx>
              </c15:filteredSeriesTitle>
            </c:ext>
            <c:ext xmlns:c16="http://schemas.microsoft.com/office/drawing/2014/chart" uri="{C3380CC4-5D6E-409C-BE32-E72D297353CC}">
              <c16:uniqueId val="{00000015-FF47-4428-81A9-7B8A43C8A075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7656303812101185"/>
                  <c:y val="0.1404267940001077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+Fe; y = 0.1141x + 0.8751</a:t>
                    </a:r>
                    <a:br>
                      <a:rPr lang="en-US" baseline="0"/>
                    </a:br>
                    <a:r>
                      <a:rPr lang="en-US" baseline="0"/>
                      <a:t>R² = 0.7415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calculations'!$X$3:$X$5</c:f>
                <c:numCache>
                  <c:formatCode>General</c:formatCode>
                  <c:ptCount val="3"/>
                  <c:pt idx="0">
                    <c:v>1.0066445913694344E-2</c:v>
                  </c:pt>
                  <c:pt idx="1">
                    <c:v>1.0148891565092213E-2</c:v>
                  </c:pt>
                  <c:pt idx="2">
                    <c:v>5.4037024344425356E-3</c:v>
                  </c:pt>
                </c:numCache>
              </c:numRef>
            </c:plus>
            <c:minus>
              <c:numRef>
                <c:f>'stats and calculations'!$X$3:$X$5</c:f>
                <c:numCache>
                  <c:formatCode>General</c:formatCode>
                  <c:ptCount val="3"/>
                  <c:pt idx="0">
                    <c:v>1.0066445913694344E-2</c:v>
                  </c:pt>
                  <c:pt idx="1">
                    <c:v>1.0148891565092213E-2</c:v>
                  </c:pt>
                  <c:pt idx="2">
                    <c:v>5.4037024344425356E-3</c:v>
                  </c:pt>
                </c:numCache>
              </c:numRef>
            </c:minus>
          </c:errBars>
          <c:xVal>
            <c:numRef>
              <c:f>'stats and calculations'!$AE$2:$AE$5</c:f>
              <c:numCache>
                <c:formatCode>[h]:mm:ss;@</c:formatCode>
                <c:ptCount val="4"/>
                <c:pt idx="0">
                  <c:v>0</c:v>
                </c:pt>
                <c:pt idx="1">
                  <c:v>2.2694444444423425</c:v>
                </c:pt>
                <c:pt idx="2">
                  <c:v>3.1986111111109494</c:v>
                </c:pt>
                <c:pt idx="3">
                  <c:v>4.2159722222204437</c:v>
                </c:pt>
              </c:numCache>
            </c:numRef>
          </c:xVal>
          <c:yVal>
            <c:numRef>
              <c:f>'stats and calculations'!$W$2:$W$5</c:f>
              <c:numCache>
                <c:formatCode>General</c:formatCode>
                <c:ptCount val="4"/>
                <c:pt idx="0">
                  <c:v>0.24233333333333337</c:v>
                </c:pt>
                <c:pt idx="1">
                  <c:v>0.14533333333333334</c:v>
                </c:pt>
                <c:pt idx="2">
                  <c:v>0.13</c:v>
                </c:pt>
                <c:pt idx="3">
                  <c:v>0.14920000000000003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+Fe</c:v>
                </c15:tx>
              </c15:filteredSeriesTitle>
            </c:ext>
            <c:ext xmlns:c16="http://schemas.microsoft.com/office/drawing/2014/chart" uri="{C3380CC4-5D6E-409C-BE32-E72D297353CC}">
              <c16:uniqueId val="{00000017-FF47-4428-81A9-7B8A43C8A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91648"/>
        <c:axId val="108110208"/>
      </c:scatterChart>
      <c:valAx>
        <c:axId val="10809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10208"/>
        <c:crosses val="autoZero"/>
        <c:crossBetween val="midCat"/>
      </c:valAx>
      <c:valAx>
        <c:axId val="108110208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 chl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2800" i="1" baseline="0">
                    <a:solidFill>
                      <a:sysClr val="windowText" lastClr="000000"/>
                    </a:solidFill>
                  </a:rPr>
                  <a:t>a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(</a:t>
                </a:r>
                <a:r>
                  <a:rPr lang="en-US" sz="2800" baseline="0">
                    <a:solidFill>
                      <a:sysClr val="windowText" lastClr="000000"/>
                    </a:solidFill>
                    <a:latin typeface="Symbol" panose="05050102010706020507" pitchFamily="18" charset="2"/>
                  </a:rPr>
                  <a:t>m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g/L)</a:t>
                </a:r>
                <a:endParaRPr 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916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865910991895244"/>
          <c:y val="8.8273011824089753E-2"/>
          <c:w val="0.13262389847345207"/>
          <c:h val="0.42967356667534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</a:t>
            </a:r>
            <a:r>
              <a:rPr lang="en-US" sz="2400" baseline="0">
                <a:solidFill>
                  <a:sysClr val="windowText" lastClr="000000"/>
                </a:solidFill>
              </a:rPr>
              <a:t>Pheo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5418009990287663"/>
          <c:y val="8.08080808080808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86808406210444"/>
          <c:y val="8.2535433070866138E-2"/>
          <c:w val="0.68480550243158"/>
          <c:h val="0.774491529467907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5875"/>
            </c:spPr>
            <c:trendlineType val="linear"/>
            <c:dispRSqr val="1"/>
            <c:dispEq val="1"/>
            <c:trendlineLbl>
              <c:layout>
                <c:manualLayout>
                  <c:x val="0.4237269187505408"/>
                  <c:y val="-0.4275191843973997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0.0003x + 0.0363
R² = 0.004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calculations'!$N$11:$N$14</c:f>
                <c:numCache>
                  <c:formatCode>General</c:formatCode>
                  <c:ptCount val="4"/>
                  <c:pt idx="0">
                    <c:v>5.7050049842953957E-3</c:v>
                  </c:pt>
                  <c:pt idx="1">
                    <c:v>4.7488165151352109E-3</c:v>
                  </c:pt>
                  <c:pt idx="2">
                    <c:v>1.5386319947964843E-2</c:v>
                  </c:pt>
                  <c:pt idx="3">
                    <c:v>1.2863503869087762E-2</c:v>
                  </c:pt>
                </c:numCache>
              </c:numRef>
            </c:plus>
            <c:minus>
              <c:numRef>
                <c:f>'stats and calculations'!$N$11:$N$14</c:f>
                <c:numCache>
                  <c:formatCode>General</c:formatCode>
                  <c:ptCount val="4"/>
                  <c:pt idx="0">
                    <c:v>5.7050049842953957E-3</c:v>
                  </c:pt>
                  <c:pt idx="1">
                    <c:v>4.7488165151352109E-3</c:v>
                  </c:pt>
                  <c:pt idx="2">
                    <c:v>1.5386319947964843E-2</c:v>
                  </c:pt>
                  <c:pt idx="3">
                    <c:v>1.2863503869087762E-2</c:v>
                  </c:pt>
                </c:numCache>
              </c:numRef>
            </c:minus>
          </c:errBars>
          <c:xVal>
            <c:numRef>
              <c:f>'stats and calculations'!$Z$11:$Z$14</c:f>
              <c:numCache>
                <c:formatCode>[h]:mm:ss;@</c:formatCode>
                <c:ptCount val="4"/>
                <c:pt idx="0">
                  <c:v>0</c:v>
                </c:pt>
                <c:pt idx="1">
                  <c:v>2.2166666666671517</c:v>
                </c:pt>
                <c:pt idx="2">
                  <c:v>3.1395833333372138</c:v>
                </c:pt>
                <c:pt idx="3">
                  <c:v>3.2138888888875954</c:v>
                </c:pt>
              </c:numCache>
            </c:numRef>
          </c:xVal>
          <c:yVal>
            <c:numRef>
              <c:f>'stats and calculations'!$M$11:$M$14</c:f>
              <c:numCache>
                <c:formatCode>General</c:formatCode>
                <c:ptCount val="4"/>
                <c:pt idx="0">
                  <c:v>5.3617779200000007E-2</c:v>
                </c:pt>
                <c:pt idx="1">
                  <c:v>4.5925514666666702E-2</c:v>
                </c:pt>
                <c:pt idx="2">
                  <c:v>5.3752549333333371E-2</c:v>
                </c:pt>
                <c:pt idx="3">
                  <c:v>4.1954979200000027E-2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control</c:v>
                </c15:tx>
              </c15:filteredSeriesTitle>
            </c:ext>
            <c:ext xmlns:c16="http://schemas.microsoft.com/office/drawing/2014/chart" uri="{C3380CC4-5D6E-409C-BE32-E72D297353CC}">
              <c16:uniqueId val="{00000001-1CD3-4760-9A12-9839FE3FCC81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0.29452233855383464"/>
                  <c:y val="-0.3787060894078232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SAMW; y = -0.0159x + 0.0401
R² = 0.7695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calculations'!$P$11:$P$14</c:f>
                <c:numCache>
                  <c:formatCode>General</c:formatCode>
                  <c:ptCount val="4"/>
                  <c:pt idx="0">
                    <c:v>1.7004293073658514E-2</c:v>
                  </c:pt>
                  <c:pt idx="1">
                    <c:v>1.1618743713019066E-2</c:v>
                  </c:pt>
                  <c:pt idx="2">
                    <c:v>1.2430191918861662E-2</c:v>
                  </c:pt>
                  <c:pt idx="3">
                    <c:v>1.1106744066158671E-2</c:v>
                  </c:pt>
                </c:numCache>
              </c:numRef>
            </c:plus>
            <c:minus>
              <c:numRef>
                <c:f>'stats and calculations'!$P$11:$P$14</c:f>
                <c:numCache>
                  <c:formatCode>General</c:formatCode>
                  <c:ptCount val="4"/>
                  <c:pt idx="0">
                    <c:v>1.7004293073658514E-2</c:v>
                  </c:pt>
                  <c:pt idx="1">
                    <c:v>1.1618743713019066E-2</c:v>
                  </c:pt>
                  <c:pt idx="2">
                    <c:v>1.2430191918861662E-2</c:v>
                  </c:pt>
                  <c:pt idx="3">
                    <c:v>1.1106744066158671E-2</c:v>
                  </c:pt>
                </c:numCache>
              </c:numRef>
            </c:minus>
          </c:errBars>
          <c:xVal>
            <c:numRef>
              <c:f>'stats and calculations'!$AA$11:$AA$14</c:f>
              <c:numCache>
                <c:formatCode>[h]:mm:ss;@</c:formatCode>
                <c:ptCount val="4"/>
                <c:pt idx="0">
                  <c:v>1.1805555557657499E-2</c:v>
                </c:pt>
                <c:pt idx="1">
                  <c:v>2.2381944444423425</c:v>
                </c:pt>
                <c:pt idx="2">
                  <c:v>3.1597222222262644</c:v>
                </c:pt>
                <c:pt idx="3">
                  <c:v>4.163888888891961</c:v>
                </c:pt>
              </c:numCache>
            </c:numRef>
          </c:xVal>
          <c:yVal>
            <c:numRef>
              <c:f>'stats and calculations'!$O$11:$O$14</c:f>
              <c:numCache>
                <c:formatCode>General</c:formatCode>
                <c:ptCount val="4"/>
                <c:pt idx="0">
                  <c:v>5.3617779200000069E-2</c:v>
                </c:pt>
                <c:pt idx="1">
                  <c:v>4.8543165333333436E-2</c:v>
                </c:pt>
                <c:pt idx="2">
                  <c:v>4.7221381333333347E-2</c:v>
                </c:pt>
                <c:pt idx="3">
                  <c:v>4.5690185280000031E-2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SAMW</c:v>
                </c15:tx>
              </c15:filteredSeriesTitle>
            </c:ext>
            <c:ext xmlns:c16="http://schemas.microsoft.com/office/drawing/2014/chart" uri="{C3380CC4-5D6E-409C-BE32-E72D297353CC}">
              <c16:uniqueId val="{00000003-1CD3-4760-9A12-9839FE3FCC81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9349669752819357"/>
                  <c:y val="-1.77880852905374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+NO3; y = -0.0428x + 0.2184
R² = 0.5088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calculations'!$R$12:$R$14</c:f>
                <c:numCache>
                  <c:formatCode>General</c:formatCode>
                  <c:ptCount val="3"/>
                  <c:pt idx="0">
                    <c:v>2.7447777531923886E-2</c:v>
                  </c:pt>
                  <c:pt idx="1">
                    <c:v>2.0794021006640243E-2</c:v>
                  </c:pt>
                  <c:pt idx="2">
                    <c:v>3.1208252302807361E-2</c:v>
                  </c:pt>
                </c:numCache>
              </c:numRef>
            </c:plus>
            <c:minus>
              <c:numRef>
                <c:f>'stats and calculations'!$R$12:$R$14</c:f>
                <c:numCache>
                  <c:formatCode>General</c:formatCode>
                  <c:ptCount val="3"/>
                  <c:pt idx="0">
                    <c:v>2.7447777531923886E-2</c:v>
                  </c:pt>
                  <c:pt idx="1">
                    <c:v>2.0794021006640243E-2</c:v>
                  </c:pt>
                  <c:pt idx="2">
                    <c:v>3.1208252302807361E-2</c:v>
                  </c:pt>
                </c:numCache>
              </c:numRef>
            </c:minus>
          </c:errBars>
          <c:xVal>
            <c:numRef>
              <c:f>'stats and calculations'!$AA$11:$AA$14</c:f>
              <c:numCache>
                <c:formatCode>[h]:mm:ss;@</c:formatCode>
                <c:ptCount val="4"/>
                <c:pt idx="0">
                  <c:v>1.1805555557657499E-2</c:v>
                </c:pt>
                <c:pt idx="1">
                  <c:v>2.2381944444423425</c:v>
                </c:pt>
                <c:pt idx="2">
                  <c:v>3.1597222222262644</c:v>
                </c:pt>
                <c:pt idx="3">
                  <c:v>4.163888888891961</c:v>
                </c:pt>
              </c:numCache>
            </c:numRef>
          </c:xVal>
          <c:yVal>
            <c:numRef>
              <c:f>'stats and calculations'!$Q$11:$Q$14</c:f>
              <c:numCache>
                <c:formatCode>General</c:formatCode>
                <c:ptCount val="4"/>
                <c:pt idx="0">
                  <c:v>5.7432810666666667E-2</c:v>
                </c:pt>
                <c:pt idx="1">
                  <c:v>9.4002168000000066E-2</c:v>
                </c:pt>
                <c:pt idx="2">
                  <c:v>8.9362965333333336E-2</c:v>
                </c:pt>
                <c:pt idx="3">
                  <c:v>6.7333232000000076E-2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NO3</c:v>
                </c15:tx>
              </c15:filteredSeriesTitle>
            </c:ext>
            <c:ext xmlns:c16="http://schemas.microsoft.com/office/drawing/2014/chart" uri="{C3380CC4-5D6E-409C-BE32-E72D297353CC}">
              <c16:uniqueId val="{00000005-1CD3-4760-9A12-9839FE3FCC81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solidFill>
                  <a:schemeClr val="tx1">
                    <a:lumMod val="75000"/>
                    <a:lumOff val="25000"/>
                  </a:schemeClr>
                </a:solidFill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0.2917349946641285"/>
                  <c:y val="-0.399277425562059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+Si; y = -0.0408x + 0.2012
R² = 0.4308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calculations'!$T$12:$T$14</c:f>
                <c:numCache>
                  <c:formatCode>General</c:formatCode>
                  <c:ptCount val="3"/>
                  <c:pt idx="0">
                    <c:v>6.3435785190132151E-3</c:v>
                  </c:pt>
                  <c:pt idx="1">
                    <c:v>3.7466568939880447E-3</c:v>
                  </c:pt>
                  <c:pt idx="2">
                    <c:v>7.2026424571232234E-3</c:v>
                  </c:pt>
                </c:numCache>
              </c:numRef>
            </c:plus>
            <c:minus>
              <c:numRef>
                <c:f>'stats and calculations'!$T$12:$T$14</c:f>
                <c:numCache>
                  <c:formatCode>General</c:formatCode>
                  <c:ptCount val="3"/>
                  <c:pt idx="0">
                    <c:v>6.3435785190132151E-3</c:v>
                  </c:pt>
                  <c:pt idx="1">
                    <c:v>3.7466568939880447E-3</c:v>
                  </c:pt>
                  <c:pt idx="2">
                    <c:v>7.2026424571232234E-3</c:v>
                  </c:pt>
                </c:numCache>
              </c:numRef>
            </c:minus>
          </c:errBars>
          <c:xVal>
            <c:numRef>
              <c:f>'stats and calculations'!$AC$11:$AC$14</c:f>
              <c:numCache>
                <c:formatCode>[h]:mm:ss;@</c:formatCode>
                <c:ptCount val="4"/>
                <c:pt idx="0">
                  <c:v>0</c:v>
                </c:pt>
                <c:pt idx="1">
                  <c:v>2.2381944444423425</c:v>
                </c:pt>
                <c:pt idx="2">
                  <c:v>3.1597222222262644</c:v>
                </c:pt>
                <c:pt idx="3">
                  <c:v>4.1847222222204437</c:v>
                </c:pt>
              </c:numCache>
            </c:numRef>
          </c:xVal>
          <c:yVal>
            <c:numRef>
              <c:f>'stats and calculations'!$S$11:$S$14</c:f>
              <c:numCache>
                <c:formatCode>General</c:formatCode>
                <c:ptCount val="4"/>
                <c:pt idx="0">
                  <c:v>5.7432810666666667E-2</c:v>
                </c:pt>
                <c:pt idx="1">
                  <c:v>2.5585591466666679E-2</c:v>
                </c:pt>
                <c:pt idx="2">
                  <c:v>2.6135038933333372E-2</c:v>
                </c:pt>
                <c:pt idx="3">
                  <c:v>2.8531873919999996E-2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Si</c:v>
                </c15:tx>
              </c15:filteredSeriesTitle>
            </c:ext>
            <c:ext xmlns:c16="http://schemas.microsoft.com/office/drawing/2014/chart" uri="{C3380CC4-5D6E-409C-BE32-E72D297353CC}">
              <c16:uniqueId val="{00000007-1CD3-4760-9A12-9839FE3FCC81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8822220299385654"/>
                  <c:y val="-0.3951518785314908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+Fe+Si; y = -0.0407x + 0.1912
R² = 0.4103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calculations'!$V$12:$V$13</c:f>
                <c:numCache>
                  <c:formatCode>General</c:formatCode>
                  <c:ptCount val="2"/>
                  <c:pt idx="0">
                    <c:v>8.6557266312397591E-3</c:v>
                  </c:pt>
                  <c:pt idx="1">
                    <c:v>3.8354150831081921E-4</c:v>
                  </c:pt>
                </c:numCache>
              </c:numRef>
            </c:plus>
            <c:minus>
              <c:numRef>
                <c:f>'stats and calculations'!$V$12:$V$13</c:f>
                <c:numCache>
                  <c:formatCode>General</c:formatCode>
                  <c:ptCount val="2"/>
                  <c:pt idx="0">
                    <c:v>8.6557266312397591E-3</c:v>
                  </c:pt>
                  <c:pt idx="1">
                    <c:v>3.8354150831081921E-4</c:v>
                  </c:pt>
                </c:numCache>
              </c:numRef>
            </c:minus>
          </c:errBars>
          <c:xVal>
            <c:numRef>
              <c:f>'stats and calculations'!$AD$11:$AD$14</c:f>
              <c:numCache>
                <c:formatCode>[h]:mm:ss;@</c:formatCode>
                <c:ptCount val="4"/>
                <c:pt idx="0">
                  <c:v>0</c:v>
                </c:pt>
                <c:pt idx="1">
                  <c:v>2.2562499999985448</c:v>
                </c:pt>
                <c:pt idx="2">
                  <c:v>3.1777777777751908</c:v>
                </c:pt>
                <c:pt idx="3">
                  <c:v>4.2055555555562023</c:v>
                </c:pt>
              </c:numCache>
            </c:numRef>
          </c:xVal>
          <c:yVal>
            <c:numRef>
              <c:f>'stats and calculations'!$U$11:$U$14</c:f>
              <c:numCache>
                <c:formatCode>General</c:formatCode>
                <c:ptCount val="4"/>
                <c:pt idx="0">
                  <c:v>5.7432810666666667E-2</c:v>
                </c:pt>
                <c:pt idx="1">
                  <c:v>2.4004634133333331E-2</c:v>
                </c:pt>
                <c:pt idx="2">
                  <c:v>2.0910104533333359E-2</c:v>
                </c:pt>
                <c:pt idx="3">
                  <c:v>2.4606952960000004E-2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Fe + Si</c:v>
                </c15:tx>
              </c15:filteredSeriesTitle>
            </c:ext>
            <c:ext xmlns:c16="http://schemas.microsoft.com/office/drawing/2014/chart" uri="{C3380CC4-5D6E-409C-BE32-E72D297353CC}">
              <c16:uniqueId val="{00000009-1CD3-4760-9A12-9839FE3FCC81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solidFill>
                  <a:schemeClr val="bg2">
                    <a:lumMod val="50000"/>
                  </a:schemeClr>
                </a:solidFill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0.28698601136396412"/>
                  <c:y val="-0.325425558246820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+Fe; y = -0.0387x + 0.2173
R² = 0.4097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calculations'!$X$12:$X$14</c:f>
                <c:numCache>
                  <c:formatCode>General</c:formatCode>
                  <c:ptCount val="3"/>
                  <c:pt idx="0">
                    <c:v>1.4220186829285895E-3</c:v>
                  </c:pt>
                  <c:pt idx="1">
                    <c:v>4.2690592166235494E-3</c:v>
                  </c:pt>
                  <c:pt idx="2">
                    <c:v>5.7254896102771997E-3</c:v>
                  </c:pt>
                </c:numCache>
              </c:numRef>
            </c:plus>
            <c:minus>
              <c:numRef>
                <c:f>'stats and calculations'!$X$12:$X$14</c:f>
                <c:numCache>
                  <c:formatCode>General</c:formatCode>
                  <c:ptCount val="3"/>
                  <c:pt idx="0">
                    <c:v>1.4220186829285895E-3</c:v>
                  </c:pt>
                  <c:pt idx="1">
                    <c:v>4.2690592166235494E-3</c:v>
                  </c:pt>
                  <c:pt idx="2">
                    <c:v>5.7254896102771997E-3</c:v>
                  </c:pt>
                </c:numCache>
              </c:numRef>
            </c:minus>
          </c:errBars>
          <c:xVal>
            <c:numRef>
              <c:f>'stats and calculations'!$AE$11:$AE$14</c:f>
              <c:numCache>
                <c:formatCode>[h]:mm:ss;@</c:formatCode>
                <c:ptCount val="4"/>
                <c:pt idx="0">
                  <c:v>0</c:v>
                </c:pt>
                <c:pt idx="1">
                  <c:v>2.2694444444423425</c:v>
                </c:pt>
                <c:pt idx="2">
                  <c:v>3.1986111111109494</c:v>
                </c:pt>
                <c:pt idx="3">
                  <c:v>4.2159722222204437</c:v>
                </c:pt>
              </c:numCache>
            </c:numRef>
          </c:xVal>
          <c:yVal>
            <c:numRef>
              <c:f>'stats and calculations'!$W$11:$W$14</c:f>
              <c:numCache>
                <c:formatCode>General</c:formatCode>
                <c:ptCount val="4"/>
                <c:pt idx="0">
                  <c:v>5.7432810666666667E-2</c:v>
                </c:pt>
                <c:pt idx="1">
                  <c:v>2.8187691733333343E-2</c:v>
                </c:pt>
                <c:pt idx="2">
                  <c:v>1.8411673600000029E-2</c:v>
                </c:pt>
                <c:pt idx="3">
                  <c:v>2.3723690240000022E-2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Fe</c:v>
                </c15:tx>
              </c15:filteredSeriesTitle>
            </c:ext>
            <c:ext xmlns:c16="http://schemas.microsoft.com/office/drawing/2014/chart" uri="{C3380CC4-5D6E-409C-BE32-E72D297353CC}">
              <c16:uniqueId val="{0000000B-1CD3-4760-9A12-9839FE3FC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84384"/>
        <c:axId val="133586304"/>
      </c:scatterChart>
      <c:valAx>
        <c:axId val="13358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86304"/>
        <c:crosses val="autoZero"/>
        <c:crossBetween val="midCat"/>
      </c:valAx>
      <c:valAx>
        <c:axId val="133586304"/>
        <c:scaling>
          <c:orientation val="minMax"/>
          <c:max val="0.1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 Phaeo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843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332560353032793"/>
          <c:y val="0.50253414204731228"/>
          <c:w val="0.16479084121389162"/>
          <c:h val="0.49637473326573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Phaeo</a:t>
            </a:r>
            <a:r>
              <a:rPr lang="en-US" sz="2400" baseline="0">
                <a:solidFill>
                  <a:sysClr val="windowText" lastClr="000000"/>
                </a:solidFill>
              </a:rPr>
              <a:t>/C</a:t>
            </a:r>
            <a:r>
              <a:rPr lang="en-US" sz="2400">
                <a:solidFill>
                  <a:sysClr val="windowText" lastClr="000000"/>
                </a:solidFill>
              </a:rPr>
              <a:t>hl</a:t>
            </a:r>
            <a:r>
              <a:rPr lang="en-US" sz="2400" baseline="0">
                <a:solidFill>
                  <a:sysClr val="windowText" lastClr="000000"/>
                </a:solidFill>
              </a:rPr>
              <a:t> </a:t>
            </a:r>
            <a:r>
              <a:rPr lang="en-US" sz="2400" i="1" baseline="0">
                <a:solidFill>
                  <a:sysClr val="windowText" lastClr="000000"/>
                </a:solidFill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</a:rPr>
              <a:t>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54814045679443"/>
          <c:y val="8.4330288246832905E-2"/>
          <c:w val="0.70704612706554282"/>
          <c:h val="0.774491529467907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>
                <a:solidFill>
                  <a:schemeClr val="bg1">
                    <a:lumMod val="50000"/>
                  </a:schemeClr>
                </a:solidFill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0.35904710301820936"/>
                  <c:y val="0.3533974862685809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-0.0253x + 0.2136
R² = 0.5133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calculations'!$N$20:$N$23</c:f>
                <c:numCache>
                  <c:formatCode>General</c:formatCode>
                  <c:ptCount val="4"/>
                  <c:pt idx="0">
                    <c:v>2.3846883242972603E-2</c:v>
                  </c:pt>
                  <c:pt idx="1">
                    <c:v>3.2682575028985257E-2</c:v>
                  </c:pt>
                  <c:pt idx="2">
                    <c:v>7.6369996022334116E-2</c:v>
                  </c:pt>
                  <c:pt idx="3">
                    <c:v>5.3839895495398409E-2</c:v>
                  </c:pt>
                </c:numCache>
              </c:numRef>
            </c:plus>
            <c:minus>
              <c:numRef>
                <c:f>'stats and calculations'!$N$20:$N$23</c:f>
                <c:numCache>
                  <c:formatCode>General</c:formatCode>
                  <c:ptCount val="4"/>
                  <c:pt idx="0">
                    <c:v>2.3846883242972603E-2</c:v>
                  </c:pt>
                  <c:pt idx="1">
                    <c:v>3.2682575028985257E-2</c:v>
                  </c:pt>
                  <c:pt idx="2">
                    <c:v>7.6369996022334116E-2</c:v>
                  </c:pt>
                  <c:pt idx="3">
                    <c:v>5.3839895495398409E-2</c:v>
                  </c:pt>
                </c:numCache>
              </c:numRef>
            </c:minus>
          </c:errBars>
          <c:xVal>
            <c:numRef>
              <c:f>'stats and calculations'!$Z$20:$Z$23</c:f>
              <c:numCache>
                <c:formatCode>[h]:mm:ss;@</c:formatCode>
                <c:ptCount val="4"/>
                <c:pt idx="0">
                  <c:v>0</c:v>
                </c:pt>
                <c:pt idx="1">
                  <c:v>2.2166666666671517</c:v>
                </c:pt>
                <c:pt idx="2">
                  <c:v>3.1395833333372138</c:v>
                </c:pt>
                <c:pt idx="3">
                  <c:v>3.2138888888875954</c:v>
                </c:pt>
              </c:numCache>
            </c:numRef>
          </c:xVal>
          <c:yVal>
            <c:numRef>
              <c:f>'stats and calculations'!$M$20:$M$23</c:f>
              <c:numCache>
                <c:formatCode>General</c:formatCode>
                <c:ptCount val="4"/>
                <c:pt idx="0">
                  <c:v>0.22125631031636864</c:v>
                </c:pt>
                <c:pt idx="1">
                  <c:v>0.16884380392156875</c:v>
                </c:pt>
                <c:pt idx="2">
                  <c:v>0.23438611627906997</c:v>
                </c:pt>
                <c:pt idx="3">
                  <c:v>0.16781991680000008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control</c:v>
                </c15:tx>
              </c15:filteredSeriesTitle>
            </c:ext>
            <c:ext xmlns:c16="http://schemas.microsoft.com/office/drawing/2014/chart" uri="{C3380CC4-5D6E-409C-BE32-E72D297353CC}">
              <c16:uniqueId val="{00000001-01DD-45B7-B9CF-F1782CD8510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1087466473420197"/>
                  <c:y val="0.3401017944192200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+SAMW; y = -0.0709x + 0.2276
R² = 0.7888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calculations'!$P$20:$P$23</c:f>
                <c:numCache>
                  <c:formatCode>General</c:formatCode>
                  <c:ptCount val="4"/>
                  <c:pt idx="0">
                    <c:v>7.9759288960923033E-2</c:v>
                  </c:pt>
                  <c:pt idx="1">
                    <c:v>3.0694957637523421E-2</c:v>
                  </c:pt>
                  <c:pt idx="2">
                    <c:v>4.3570201717870072E-2</c:v>
                  </c:pt>
                  <c:pt idx="3">
                    <c:v>7.3776800494597741E-2</c:v>
                  </c:pt>
                </c:numCache>
              </c:numRef>
            </c:plus>
            <c:minus>
              <c:numRef>
                <c:f>'stats and calculations'!$P$20:$P$23</c:f>
                <c:numCache>
                  <c:formatCode>General</c:formatCode>
                  <c:ptCount val="4"/>
                  <c:pt idx="0">
                    <c:v>7.9759288960923033E-2</c:v>
                  </c:pt>
                  <c:pt idx="1">
                    <c:v>3.0694957637523421E-2</c:v>
                  </c:pt>
                  <c:pt idx="2">
                    <c:v>4.3570201717870072E-2</c:v>
                  </c:pt>
                  <c:pt idx="3">
                    <c:v>7.3776800494597741E-2</c:v>
                  </c:pt>
                </c:numCache>
              </c:numRef>
            </c:minus>
          </c:errBars>
          <c:xVal>
            <c:numRef>
              <c:f>'stats and calculations'!$AA$20:$AA$23</c:f>
              <c:numCache>
                <c:formatCode>[h]:mm:ss;@</c:formatCode>
                <c:ptCount val="4"/>
                <c:pt idx="0">
                  <c:v>1.1805555557657499E-2</c:v>
                </c:pt>
                <c:pt idx="1">
                  <c:v>2.2381944444423425</c:v>
                </c:pt>
                <c:pt idx="2">
                  <c:v>3.1597222222262644</c:v>
                </c:pt>
                <c:pt idx="3">
                  <c:v>4.163888888891961</c:v>
                </c:pt>
              </c:numCache>
            </c:numRef>
          </c:xVal>
          <c:yVal>
            <c:numRef>
              <c:f>'stats and calculations'!$O$20:$O$23</c:f>
              <c:numCache>
                <c:formatCode>General</c:formatCode>
                <c:ptCount val="4"/>
                <c:pt idx="0">
                  <c:v>0.25094124430577253</c:v>
                </c:pt>
                <c:pt idx="1">
                  <c:v>0.1255968055196208</c:v>
                </c:pt>
                <c:pt idx="2">
                  <c:v>0.15899454994388329</c:v>
                </c:pt>
                <c:pt idx="3">
                  <c:v>0.15761524344569305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SAMW</c:v>
                </c15:tx>
              </c15:filteredSeriesTitle>
            </c:ext>
            <c:ext xmlns:c16="http://schemas.microsoft.com/office/drawing/2014/chart" uri="{C3380CC4-5D6E-409C-BE32-E72D297353CC}">
              <c16:uniqueId val="{00000003-01DD-45B7-B9CF-F1782CD8510E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0.21425801799395983"/>
                  <c:y val="0.4453888784063831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NO3; y = 0.0225x + 0.0081</a:t>
                    </a:r>
                    <a:br>
                      <a:rPr lang="en-US" baseline="0"/>
                    </a:br>
                    <a:r>
                      <a:rPr lang="en-US" baseline="0"/>
                      <a:t>R² = 0.6161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calculations'!$R$21:$R$23</c:f>
                <c:numCache>
                  <c:formatCode>General</c:formatCode>
                  <c:ptCount val="3"/>
                  <c:pt idx="0">
                    <c:v>5.9702400220939623E-2</c:v>
                  </c:pt>
                  <c:pt idx="1">
                    <c:v>4.8718338863979617E-2</c:v>
                  </c:pt>
                  <c:pt idx="2">
                    <c:v>6.1147149103477856E-2</c:v>
                  </c:pt>
                </c:numCache>
              </c:numRef>
            </c:plus>
            <c:minus>
              <c:numRef>
                <c:f>'stats and calculations'!$R$21:$R$23</c:f>
                <c:numCache>
                  <c:formatCode>General</c:formatCode>
                  <c:ptCount val="3"/>
                  <c:pt idx="0">
                    <c:v>5.9702400220939623E-2</c:v>
                  </c:pt>
                  <c:pt idx="1">
                    <c:v>4.8718338863979617E-2</c:v>
                  </c:pt>
                  <c:pt idx="2">
                    <c:v>6.1147149103477856E-2</c:v>
                  </c:pt>
                </c:numCache>
              </c:numRef>
            </c:minus>
          </c:errBars>
          <c:xVal>
            <c:numRef>
              <c:f>'stats and calculations'!$AB$20:$AB$23</c:f>
              <c:numCache>
                <c:formatCode>[h]:mm:ss;@</c:formatCode>
                <c:ptCount val="4"/>
                <c:pt idx="0">
                  <c:v>0</c:v>
                </c:pt>
                <c:pt idx="1">
                  <c:v>2.226388888891961</c:v>
                </c:pt>
                <c:pt idx="2">
                  <c:v>3.1472222222218988</c:v>
                </c:pt>
                <c:pt idx="3">
                  <c:v>4.1430555555562023</c:v>
                </c:pt>
              </c:numCache>
            </c:numRef>
          </c:xVal>
          <c:yVal>
            <c:numRef>
              <c:f>'stats and calculations'!$Q$20:$Q$23</c:f>
              <c:numCache>
                <c:formatCode>General</c:formatCode>
                <c:ptCount val="4"/>
                <c:pt idx="0">
                  <c:v>0.2369992187070151</c:v>
                </c:pt>
                <c:pt idx="1">
                  <c:v>0.19282496000000013</c:v>
                </c:pt>
                <c:pt idx="2">
                  <c:v>0.1974145036818851</c:v>
                </c:pt>
                <c:pt idx="3">
                  <c:v>0.20342914194122899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NO3</c:v>
                </c15:tx>
              </c15:filteredSeriesTitle>
            </c:ext>
            <c:ext xmlns:c16="http://schemas.microsoft.com/office/drawing/2014/chart" uri="{C3380CC4-5D6E-409C-BE32-E72D297353CC}">
              <c16:uniqueId val="{00000005-01DD-45B7-B9CF-F1782CD8510E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'stats and calculations'!$T$21:$T$23</c:f>
                <c:numCache>
                  <c:formatCode>General</c:formatCode>
                  <c:ptCount val="3"/>
                  <c:pt idx="0">
                    <c:v>4.3475528394901278E-2</c:v>
                  </c:pt>
                  <c:pt idx="1">
                    <c:v>4.8471760699820163E-2</c:v>
                  </c:pt>
                  <c:pt idx="2">
                    <c:v>5.18160132668238E-2</c:v>
                  </c:pt>
                </c:numCache>
              </c:numRef>
            </c:plus>
            <c:minus>
              <c:numRef>
                <c:f>'stats and calculations'!$T$21:$T$23</c:f>
                <c:numCache>
                  <c:formatCode>General</c:formatCode>
                  <c:ptCount val="3"/>
                  <c:pt idx="0">
                    <c:v>4.3475528394901278E-2</c:v>
                  </c:pt>
                  <c:pt idx="1">
                    <c:v>4.8471760699820163E-2</c:v>
                  </c:pt>
                  <c:pt idx="2">
                    <c:v>5.18160132668238E-2</c:v>
                  </c:pt>
                </c:numCache>
              </c:numRef>
            </c:minus>
          </c:errBars>
          <c:xVal>
            <c:numRef>
              <c:f>'stats and calculations'!$AC$20:$AC$23</c:f>
              <c:numCache>
                <c:formatCode>[h]:mm:ss;@</c:formatCode>
                <c:ptCount val="4"/>
                <c:pt idx="0">
                  <c:v>0</c:v>
                </c:pt>
                <c:pt idx="1">
                  <c:v>2.2381944444423425</c:v>
                </c:pt>
                <c:pt idx="2">
                  <c:v>3.1597222222262644</c:v>
                </c:pt>
                <c:pt idx="3">
                  <c:v>4.1847222222204437</c:v>
                </c:pt>
              </c:numCache>
            </c:numRef>
          </c:xVal>
          <c:yVal>
            <c:numRef>
              <c:f>'stats and calculations'!$S$20:$S$23</c:f>
              <c:numCache>
                <c:formatCode>General</c:formatCode>
                <c:ptCount val="4"/>
                <c:pt idx="0">
                  <c:v>0.2369992187070151</c:v>
                </c:pt>
                <c:pt idx="1">
                  <c:v>0.15351354880000009</c:v>
                </c:pt>
                <c:pt idx="2">
                  <c:v>0.17501142142857171</c:v>
                </c:pt>
                <c:pt idx="3">
                  <c:v>0.16360019449541283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Si</c:v>
                </c15:tx>
              </c15:filteredSeriesTitle>
            </c:ext>
            <c:ext xmlns:c16="http://schemas.microsoft.com/office/drawing/2014/chart" uri="{C3380CC4-5D6E-409C-BE32-E72D297353CC}">
              <c16:uniqueId val="{00000007-01DD-45B7-B9CF-F1782CD8510E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0.20396126769714254"/>
                  <c:y val="0.3534212112309831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Si; y = 0.0168x + 0.007</a:t>
                    </a:r>
                    <a:br>
                      <a:rPr lang="en-US" baseline="0"/>
                    </a:br>
                    <a:r>
                      <a:rPr lang="en-US" baseline="0"/>
                      <a:t>R² = 0.5865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spPr>
              <a:ln w="19050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0406395105942318"/>
                  <c:y val="0.416109249471164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Fe + Si; y = 0.0168x + 0.007</a:t>
                    </a:r>
                    <a:br>
                      <a:rPr lang="en-US" baseline="0"/>
                    </a:br>
                    <a:r>
                      <a:rPr lang="en-US" baseline="0"/>
                      <a:t>R² = 0.5865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calculations'!$V$21:$V$23</c:f>
                <c:numCache>
                  <c:formatCode>General</c:formatCode>
                  <c:ptCount val="3"/>
                  <c:pt idx="0">
                    <c:v>5.6549057037235922E-2</c:v>
                  </c:pt>
                  <c:pt idx="1">
                    <c:v>1.8892272866526061E-2</c:v>
                  </c:pt>
                  <c:pt idx="2">
                    <c:v>3.8952545985121149E-2</c:v>
                  </c:pt>
                </c:numCache>
              </c:numRef>
            </c:plus>
            <c:minus>
              <c:numRef>
                <c:f>'stats and calculations'!$V$21:$V$23</c:f>
                <c:numCache>
                  <c:formatCode>General</c:formatCode>
                  <c:ptCount val="3"/>
                  <c:pt idx="0">
                    <c:v>5.6549057037235922E-2</c:v>
                  </c:pt>
                  <c:pt idx="1">
                    <c:v>1.8892272866526061E-2</c:v>
                  </c:pt>
                  <c:pt idx="2">
                    <c:v>3.8952545985121149E-2</c:v>
                  </c:pt>
                </c:numCache>
              </c:numRef>
            </c:minus>
          </c:errBars>
          <c:xVal>
            <c:numRef>
              <c:f>'stats and calculations'!$AD$20:$AD$23</c:f>
              <c:numCache>
                <c:formatCode>[h]:mm:ss;@</c:formatCode>
                <c:ptCount val="4"/>
                <c:pt idx="0">
                  <c:v>0</c:v>
                </c:pt>
                <c:pt idx="1">
                  <c:v>2.2562499999985448</c:v>
                </c:pt>
                <c:pt idx="2">
                  <c:v>3.1777777777751908</c:v>
                </c:pt>
                <c:pt idx="3">
                  <c:v>4.2055555555562023</c:v>
                </c:pt>
              </c:numCache>
            </c:numRef>
          </c:xVal>
          <c:yVal>
            <c:numRef>
              <c:f>'stats and calculations'!$U$20:$U$23</c:f>
              <c:numCache>
                <c:formatCode>General</c:formatCode>
                <c:ptCount val="4"/>
                <c:pt idx="0">
                  <c:v>0.2369992187070151</c:v>
                </c:pt>
                <c:pt idx="1">
                  <c:v>0.15338424366347175</c:v>
                </c:pt>
                <c:pt idx="2">
                  <c:v>0.14935788952380968</c:v>
                </c:pt>
                <c:pt idx="3">
                  <c:v>0.1671668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Fe + Si</c:v>
                </c15:tx>
              </c15:filteredSeriesTitle>
            </c:ext>
            <c:ext xmlns:c16="http://schemas.microsoft.com/office/drawing/2014/chart" uri="{C3380CC4-5D6E-409C-BE32-E72D297353CC}">
              <c16:uniqueId val="{00000009-01DD-45B7-B9CF-F1782CD8510E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0283406079894586"/>
                  <c:y val="0.4881001798479532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Fe; y = 0.0114x + 0.014</a:t>
                    </a:r>
                    <a:br>
                      <a:rPr lang="en-US" baseline="0"/>
                    </a:br>
                    <a:r>
                      <a:rPr lang="en-US" baseline="0"/>
                      <a:t>R² = 0.2859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'[2]stats and calculations'!$X$20:$X$23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'[2]stats and calculations'!$X$20:$X$23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xVal>
            <c:numRef>
              <c:f>'stats and calculations'!$AE$20:$AE$23</c:f>
              <c:numCache>
                <c:formatCode>[h]:mm:ss;@</c:formatCode>
                <c:ptCount val="4"/>
                <c:pt idx="0">
                  <c:v>0</c:v>
                </c:pt>
                <c:pt idx="1">
                  <c:v>2.2694444444423425</c:v>
                </c:pt>
                <c:pt idx="2">
                  <c:v>3.1986111111109494</c:v>
                </c:pt>
                <c:pt idx="3">
                  <c:v>4.2159722222204437</c:v>
                </c:pt>
              </c:numCache>
            </c:numRef>
          </c:xVal>
          <c:yVal>
            <c:numRef>
              <c:f>'stats and calculations'!$W$20:$W$23</c:f>
              <c:numCache>
                <c:formatCode>General</c:formatCode>
                <c:ptCount val="4"/>
                <c:pt idx="0">
                  <c:v>0.2369992187070151</c:v>
                </c:pt>
                <c:pt idx="1">
                  <c:v>0.19395200733944959</c:v>
                </c:pt>
                <c:pt idx="2">
                  <c:v>0.14162825846153868</c:v>
                </c:pt>
                <c:pt idx="3">
                  <c:v>0.15900596675603229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Fe</c:v>
                </c15:tx>
              </c15:filteredSeriesTitle>
            </c:ext>
            <c:ext xmlns:c16="http://schemas.microsoft.com/office/drawing/2014/chart" uri="{C3380CC4-5D6E-409C-BE32-E72D297353CC}">
              <c16:uniqueId val="{0000000B-01DD-45B7-B9CF-F1782CD85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30112"/>
        <c:axId val="134732032"/>
      </c:scatterChart>
      <c:valAx>
        <c:axId val="13473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32032"/>
        <c:crosses val="autoZero"/>
        <c:crossBetween val="midCat"/>
      </c:valAx>
      <c:valAx>
        <c:axId val="134732032"/>
        <c:scaling>
          <c:orientation val="minMax"/>
          <c:max val="0.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Pheo/C</a:t>
                </a:r>
                <a:r>
                  <a:rPr lang="en-US" sz="2800">
                    <a:solidFill>
                      <a:sysClr val="windowText" lastClr="000000"/>
                    </a:solidFill>
                  </a:rPr>
                  <a:t>hl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2800" i="1" baseline="0">
                    <a:solidFill>
                      <a:sysClr val="windowText" lastClr="000000"/>
                    </a:solidFill>
                  </a:rPr>
                  <a:t>a</a:t>
                </a:r>
                <a:endParaRPr 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301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896768046327276"/>
          <c:y val="8.6453992651157593E-2"/>
          <c:w val="0.14693359678486026"/>
          <c:h val="0.44160443647998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683" cy="62803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boyTN376_exp_3_all_time_points_ch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rboyTN376_exp_2_all_time_points_ch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Results"/>
      <sheetName val="simbios"/>
      <sheetName val="stn info"/>
      <sheetName val="stats and calculations"/>
      <sheetName val="mean chl vs time"/>
      <sheetName val="mean pheo vs time"/>
      <sheetName val="mean pheo over chl vs time"/>
    </sheetNames>
    <sheetDataSet>
      <sheetData sheetId="0"/>
      <sheetData sheetId="1"/>
      <sheetData sheetId="2" refreshError="1"/>
      <sheetData sheetId="3" refreshError="1"/>
      <sheetData sheetId="4">
        <row r="2">
          <cell r="M2">
            <v>0.78100000000000003</v>
          </cell>
        </row>
        <row r="13">
          <cell r="T13">
            <v>2.1734060012030498E-2</v>
          </cell>
        </row>
        <row r="14">
          <cell r="T14">
            <v>4.7281911147701878E-3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Results"/>
      <sheetName val="simbios"/>
      <sheetName val="stn info"/>
      <sheetName val="stats and calculations"/>
      <sheetName val="mean chl vs time"/>
      <sheetName val="mean phaeo vs time"/>
      <sheetName val="mean phaeo ovr chl vs time"/>
    </sheetNames>
    <sheetDataSet>
      <sheetData sheetId="0"/>
      <sheetData sheetId="1"/>
      <sheetData sheetId="2"/>
      <sheetData sheetId="3"/>
      <sheetData sheetId="4">
        <row r="20">
          <cell r="X20" t="str">
            <v>!=E22</v>
          </cell>
        </row>
        <row r="21">
          <cell r="X21" t="str">
            <v>!=J25</v>
          </cell>
        </row>
        <row r="22">
          <cell r="X22" t="str">
            <v>!=J43</v>
          </cell>
        </row>
        <row r="23">
          <cell r="X23" t="e">
            <v>#DIV/0!</v>
          </cell>
        </row>
      </sheetData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8"/>
  <sheetViews>
    <sheetView topLeftCell="A49" workbookViewId="0">
      <selection activeCell="G71" sqref="G71"/>
    </sheetView>
  </sheetViews>
  <sheetFormatPr defaultRowHeight="12.5"/>
  <cols>
    <col min="2" max="2" width="7.26953125" bestFit="1" customWidth="1"/>
    <col min="3" max="3" width="12" bestFit="1" customWidth="1"/>
    <col min="4" max="4" width="13" style="30" bestFit="1" customWidth="1"/>
    <col min="5" max="6" width="8.7265625" style="22" customWidth="1"/>
    <col min="7" max="7" width="9.453125" style="22" customWidth="1"/>
    <col min="8" max="8" width="9.26953125" style="22" customWidth="1"/>
    <col min="9" max="9" width="5.7265625" customWidth="1"/>
    <col min="10" max="11" width="7.26953125" customWidth="1"/>
    <col min="12" max="13" width="8.54296875" bestFit="1" customWidth="1"/>
  </cols>
  <sheetData>
    <row r="1" spans="1:12">
      <c r="B1" t="s">
        <v>51</v>
      </c>
      <c r="C1" t="s">
        <v>53</v>
      </c>
      <c r="G1" s="28" t="s">
        <v>52</v>
      </c>
      <c r="H1" s="28"/>
      <c r="I1" s="29"/>
    </row>
    <row r="2" spans="1:12" s="20" customFormat="1" ht="34.5" customHeight="1">
      <c r="A2" s="20" t="s">
        <v>73</v>
      </c>
      <c r="B2" s="21" t="s">
        <v>22</v>
      </c>
      <c r="C2" s="21" t="s">
        <v>23</v>
      </c>
      <c r="D2" s="31" t="s">
        <v>72</v>
      </c>
      <c r="E2" s="2" t="s">
        <v>20</v>
      </c>
      <c r="F2" s="2" t="s">
        <v>21</v>
      </c>
      <c r="G2" s="2" t="s">
        <v>47</v>
      </c>
      <c r="H2" s="2" t="s">
        <v>48</v>
      </c>
      <c r="I2" s="2" t="s">
        <v>49</v>
      </c>
      <c r="J2" s="26" t="s">
        <v>46</v>
      </c>
      <c r="L2" s="20" t="s">
        <v>45</v>
      </c>
    </row>
    <row r="3" spans="1:12">
      <c r="A3" t="s">
        <v>100</v>
      </c>
      <c r="B3" s="17" t="s">
        <v>108</v>
      </c>
      <c r="C3" s="38">
        <v>42422.200694444444</v>
      </c>
      <c r="D3" s="39">
        <v>0</v>
      </c>
      <c r="E3" s="19">
        <v>2.39</v>
      </c>
      <c r="F3" s="19">
        <v>1.45</v>
      </c>
      <c r="G3" s="19" t="s">
        <v>116</v>
      </c>
      <c r="H3">
        <f>E3-IF(G3="l",$L$3,IF(G3="m",$L$4,IF(G3="h",$L$5,-99)))</f>
        <v>2.39</v>
      </c>
      <c r="I3">
        <f>F3-IF(G3="l",$L$3,IF(G3="m",$L$4,IF(G3="h",$L$5,-99)))</f>
        <v>1.45</v>
      </c>
      <c r="J3" s="17">
        <v>1.9438</v>
      </c>
      <c r="L3" s="17">
        <v>0</v>
      </c>
    </row>
    <row r="4" spans="1:12">
      <c r="A4" t="s">
        <v>101</v>
      </c>
      <c r="B4" s="16" t="s">
        <v>109</v>
      </c>
      <c r="C4" s="38">
        <v>42422.200694444444</v>
      </c>
      <c r="D4" s="39">
        <v>0</v>
      </c>
      <c r="E4" s="19">
        <v>2.41</v>
      </c>
      <c r="F4" s="19">
        <v>1.44</v>
      </c>
      <c r="G4" s="19" t="s">
        <v>116</v>
      </c>
      <c r="H4">
        <f t="shared" ref="H4:H77" si="0">E4-IF(G4="l",$L$3,IF(G4="m",$L$4,IF(G4="h",$L$5,-99)))</f>
        <v>2.41</v>
      </c>
      <c r="I4">
        <f t="shared" ref="I4:I77" si="1">F4-IF(G4="l",$L$3,IF(G4="m",$L$4,IF(G4="h",$L$5,-99)))</f>
        <v>1.44</v>
      </c>
      <c r="L4" s="17">
        <v>-0.2</v>
      </c>
    </row>
    <row r="5" spans="1:12">
      <c r="A5" t="s">
        <v>55</v>
      </c>
      <c r="B5" s="16">
        <v>600</v>
      </c>
      <c r="C5" s="38">
        <v>42422.200694444444</v>
      </c>
      <c r="D5" s="39">
        <v>0</v>
      </c>
      <c r="E5" s="19">
        <v>3.12</v>
      </c>
      <c r="F5" s="19">
        <v>1.86</v>
      </c>
      <c r="G5" s="19" t="s">
        <v>116</v>
      </c>
      <c r="H5">
        <f t="shared" si="0"/>
        <v>3.12</v>
      </c>
      <c r="I5">
        <f t="shared" si="1"/>
        <v>1.86</v>
      </c>
      <c r="L5" s="17">
        <v>-1.9</v>
      </c>
    </row>
    <row r="6" spans="1:12">
      <c r="A6" t="s">
        <v>102</v>
      </c>
      <c r="B6" s="16" t="s">
        <v>110</v>
      </c>
      <c r="C6" s="38">
        <v>42422.200694444444</v>
      </c>
      <c r="D6" s="39">
        <v>0</v>
      </c>
      <c r="E6" s="19">
        <v>2.4700000000000002</v>
      </c>
      <c r="F6" s="19">
        <v>1.48</v>
      </c>
      <c r="G6" s="19" t="s">
        <v>116</v>
      </c>
      <c r="H6">
        <f t="shared" si="0"/>
        <v>2.4700000000000002</v>
      </c>
      <c r="I6">
        <f t="shared" si="1"/>
        <v>1.48</v>
      </c>
    </row>
    <row r="7" spans="1:12">
      <c r="A7" t="s">
        <v>103</v>
      </c>
      <c r="B7" s="16" t="s">
        <v>111</v>
      </c>
      <c r="C7" s="38">
        <v>42422.200694444444</v>
      </c>
      <c r="D7" s="39">
        <v>0</v>
      </c>
      <c r="E7" s="19">
        <v>2.27</v>
      </c>
      <c r="F7" s="19">
        <v>1.4</v>
      </c>
      <c r="G7" s="19" t="s">
        <v>116</v>
      </c>
      <c r="H7">
        <f t="shared" si="0"/>
        <v>2.27</v>
      </c>
      <c r="I7">
        <f t="shared" si="1"/>
        <v>1.4</v>
      </c>
    </row>
    <row r="8" spans="1:12">
      <c r="A8" t="s">
        <v>60</v>
      </c>
      <c r="B8" s="16">
        <v>602</v>
      </c>
      <c r="C8" s="38">
        <v>42422.212500000001</v>
      </c>
      <c r="D8" s="39">
        <v>0</v>
      </c>
      <c r="E8" s="19">
        <v>7.81</v>
      </c>
      <c r="F8" s="19">
        <v>4.37</v>
      </c>
      <c r="G8" s="19" t="s">
        <v>117</v>
      </c>
      <c r="H8">
        <f t="shared" si="0"/>
        <v>8.01</v>
      </c>
      <c r="I8">
        <f t="shared" si="1"/>
        <v>4.57</v>
      </c>
    </row>
    <row r="9" spans="1:12">
      <c r="A9" t="s">
        <v>104</v>
      </c>
      <c r="B9" s="16" t="s">
        <v>112</v>
      </c>
      <c r="C9" s="38">
        <v>42422.212500000001</v>
      </c>
      <c r="D9" s="39">
        <f>C9-$C$7</f>
        <v>1.1805555557657499E-2</v>
      </c>
      <c r="E9" s="19">
        <v>2.38</v>
      </c>
      <c r="F9" s="19">
        <v>1.41</v>
      </c>
      <c r="G9" s="19" t="s">
        <v>116</v>
      </c>
      <c r="H9">
        <f t="shared" si="0"/>
        <v>2.38</v>
      </c>
      <c r="I9">
        <f t="shared" si="1"/>
        <v>1.41</v>
      </c>
    </row>
    <row r="10" spans="1:12">
      <c r="A10" t="s">
        <v>105</v>
      </c>
      <c r="B10" s="16" t="s">
        <v>113</v>
      </c>
      <c r="C10" s="38">
        <v>42422.212500000001</v>
      </c>
      <c r="D10" s="39">
        <f t="shared" ref="D10:D77" si="2">C10-$C$7</f>
        <v>1.1805555557657499E-2</v>
      </c>
      <c r="E10" s="19">
        <v>2.09</v>
      </c>
      <c r="F10" s="19">
        <v>1.32</v>
      </c>
      <c r="G10" s="19" t="s">
        <v>116</v>
      </c>
      <c r="H10">
        <f t="shared" si="0"/>
        <v>2.09</v>
      </c>
      <c r="I10">
        <f t="shared" si="1"/>
        <v>1.32</v>
      </c>
    </row>
    <row r="11" spans="1:12">
      <c r="A11" t="s">
        <v>106</v>
      </c>
      <c r="B11" s="16" t="s">
        <v>114</v>
      </c>
      <c r="C11" s="38">
        <v>42422.212500000001</v>
      </c>
      <c r="D11" s="39">
        <f t="shared" si="2"/>
        <v>1.1805555557657499E-2</v>
      </c>
      <c r="E11" s="19">
        <v>2.14</v>
      </c>
      <c r="F11" s="19">
        <v>1.28</v>
      </c>
      <c r="G11" s="19" t="s">
        <v>116</v>
      </c>
      <c r="H11">
        <f t="shared" si="0"/>
        <v>2.14</v>
      </c>
      <c r="I11">
        <f t="shared" si="1"/>
        <v>1.28</v>
      </c>
    </row>
    <row r="12" spans="1:12">
      <c r="A12" t="s">
        <v>107</v>
      </c>
      <c r="B12" s="16" t="s">
        <v>115</v>
      </c>
      <c r="C12" s="38">
        <v>42422.212500000001</v>
      </c>
      <c r="D12" s="39">
        <f t="shared" si="2"/>
        <v>1.1805555557657499E-2</v>
      </c>
      <c r="E12" s="19">
        <v>2.1800000000000002</v>
      </c>
      <c r="F12" s="19">
        <v>1.3</v>
      </c>
      <c r="G12" s="19" t="s">
        <v>116</v>
      </c>
      <c r="H12">
        <f t="shared" si="0"/>
        <v>2.1800000000000002</v>
      </c>
      <c r="I12">
        <f t="shared" si="1"/>
        <v>1.3</v>
      </c>
    </row>
    <row r="13" spans="1:12">
      <c r="A13" t="s">
        <v>54</v>
      </c>
      <c r="B13" s="16">
        <v>663</v>
      </c>
      <c r="C13" s="38">
        <v>42424.417361111111</v>
      </c>
      <c r="D13" s="39">
        <f t="shared" si="2"/>
        <v>2.2166666666671517</v>
      </c>
      <c r="E13" s="19">
        <v>2.73</v>
      </c>
      <c r="F13" s="19">
        <v>1.6</v>
      </c>
      <c r="G13" s="19" t="s">
        <v>116</v>
      </c>
      <c r="H13">
        <f t="shared" si="0"/>
        <v>2.73</v>
      </c>
      <c r="I13">
        <f t="shared" si="1"/>
        <v>1.6</v>
      </c>
    </row>
    <row r="14" spans="1:12">
      <c r="A14" t="s">
        <v>55</v>
      </c>
      <c r="B14" s="16">
        <v>664</v>
      </c>
      <c r="C14" s="38">
        <v>42424.417361111111</v>
      </c>
      <c r="D14" s="39">
        <f t="shared" si="2"/>
        <v>2.2166666666671517</v>
      </c>
      <c r="E14" s="19">
        <v>2.27</v>
      </c>
      <c r="F14" s="19">
        <v>1.36</v>
      </c>
      <c r="G14" s="19" t="s">
        <v>116</v>
      </c>
      <c r="H14">
        <f t="shared" si="0"/>
        <v>2.27</v>
      </c>
      <c r="I14">
        <f t="shared" si="1"/>
        <v>1.36</v>
      </c>
    </row>
    <row r="15" spans="1:12">
      <c r="A15" t="s">
        <v>56</v>
      </c>
      <c r="B15" s="16">
        <v>665</v>
      </c>
      <c r="C15" s="38">
        <v>42424.417361111111</v>
      </c>
      <c r="D15" s="39">
        <f t="shared" si="2"/>
        <v>2.2166666666671517</v>
      </c>
      <c r="E15" s="19">
        <v>3.16</v>
      </c>
      <c r="F15" s="19">
        <v>1.86</v>
      </c>
      <c r="G15" s="19" t="s">
        <v>116</v>
      </c>
      <c r="H15">
        <f t="shared" si="0"/>
        <v>3.16</v>
      </c>
      <c r="I15">
        <f t="shared" si="1"/>
        <v>1.86</v>
      </c>
    </row>
    <row r="16" spans="1:12">
      <c r="A16" t="s">
        <v>57</v>
      </c>
      <c r="B16" s="16">
        <v>666</v>
      </c>
      <c r="C16" s="38">
        <v>42424.427083333336</v>
      </c>
      <c r="D16" s="39">
        <f t="shared" si="2"/>
        <v>2.226388888891961</v>
      </c>
      <c r="E16" s="19">
        <v>4.32</v>
      </c>
      <c r="F16" s="19">
        <v>2.5</v>
      </c>
      <c r="G16" s="19" t="s">
        <v>117</v>
      </c>
      <c r="H16">
        <f t="shared" si="0"/>
        <v>4.5200000000000005</v>
      </c>
      <c r="I16">
        <f t="shared" si="1"/>
        <v>2.7</v>
      </c>
    </row>
    <row r="17" spans="1:9">
      <c r="A17" t="s">
        <v>58</v>
      </c>
      <c r="B17" s="16">
        <v>667</v>
      </c>
      <c r="C17" s="38">
        <v>42424.427083333336</v>
      </c>
      <c r="D17" s="39">
        <f t="shared" si="2"/>
        <v>2.226388888891961</v>
      </c>
      <c r="E17" s="19">
        <v>5.84</v>
      </c>
      <c r="F17" s="19">
        <v>3.43</v>
      </c>
      <c r="G17" s="19" t="s">
        <v>117</v>
      </c>
      <c r="H17">
        <f t="shared" si="0"/>
        <v>6.04</v>
      </c>
      <c r="I17">
        <f t="shared" si="1"/>
        <v>3.6300000000000003</v>
      </c>
    </row>
    <row r="18" spans="1:9">
      <c r="A18" t="s">
        <v>59</v>
      </c>
      <c r="B18" s="16">
        <v>668</v>
      </c>
      <c r="C18" s="38">
        <v>42424.427083333336</v>
      </c>
      <c r="D18" s="39">
        <f t="shared" si="2"/>
        <v>2.226388888891961</v>
      </c>
      <c r="E18" s="19">
        <v>5.03</v>
      </c>
      <c r="F18" s="19">
        <v>2.84</v>
      </c>
      <c r="G18" s="19" t="s">
        <v>117</v>
      </c>
      <c r="H18">
        <f t="shared" si="0"/>
        <v>5.23</v>
      </c>
      <c r="I18">
        <f t="shared" si="1"/>
        <v>3.04</v>
      </c>
    </row>
    <row r="19" spans="1:9">
      <c r="A19" t="s">
        <v>60</v>
      </c>
      <c r="B19" s="16">
        <v>669</v>
      </c>
      <c r="C19" s="38">
        <v>42424.438888888886</v>
      </c>
      <c r="D19" s="39">
        <f t="shared" si="2"/>
        <v>2.2381944444423425</v>
      </c>
      <c r="E19" s="19">
        <v>3.73</v>
      </c>
      <c r="F19" s="19">
        <v>2.1800000000000002</v>
      </c>
      <c r="G19" s="19" t="s">
        <v>116</v>
      </c>
      <c r="H19">
        <f t="shared" si="0"/>
        <v>3.73</v>
      </c>
      <c r="I19">
        <f t="shared" si="1"/>
        <v>2.1800000000000002</v>
      </c>
    </row>
    <row r="20" spans="1:9">
      <c r="A20" t="s">
        <v>61</v>
      </c>
      <c r="B20" s="16">
        <v>670</v>
      </c>
      <c r="C20" s="38">
        <v>42424.438888888886</v>
      </c>
      <c r="D20" s="39">
        <f t="shared" si="2"/>
        <v>2.2381944444423425</v>
      </c>
      <c r="E20" s="19">
        <v>4</v>
      </c>
      <c r="F20" s="19">
        <v>2.33</v>
      </c>
      <c r="G20" s="19" t="s">
        <v>116</v>
      </c>
      <c r="H20">
        <f t="shared" si="0"/>
        <v>4</v>
      </c>
      <c r="I20">
        <f t="shared" si="1"/>
        <v>2.33</v>
      </c>
    </row>
    <row r="21" spans="1:9">
      <c r="A21" t="s">
        <v>62</v>
      </c>
      <c r="B21" s="16">
        <v>671</v>
      </c>
      <c r="C21" s="38">
        <v>42424.438888888886</v>
      </c>
      <c r="D21" s="39">
        <f t="shared" si="2"/>
        <v>2.2381944444423425</v>
      </c>
      <c r="E21" s="19">
        <v>1.88</v>
      </c>
      <c r="F21" s="19">
        <v>1.1200000000000001</v>
      </c>
      <c r="G21" s="19" t="s">
        <v>116</v>
      </c>
      <c r="H21">
        <f t="shared" si="0"/>
        <v>1.88</v>
      </c>
      <c r="I21">
        <f t="shared" si="1"/>
        <v>1.1200000000000001</v>
      </c>
    </row>
    <row r="22" spans="1:9" ht="12" customHeight="1">
      <c r="A22" t="s">
        <v>63</v>
      </c>
      <c r="B22" s="16">
        <v>672</v>
      </c>
      <c r="C22" s="38">
        <v>42424.456944444442</v>
      </c>
      <c r="D22" s="39">
        <f t="shared" si="2"/>
        <v>2.2562499999985448</v>
      </c>
      <c r="E22" s="19">
        <v>1.93</v>
      </c>
      <c r="F22" s="19">
        <v>1.1399999999999999</v>
      </c>
      <c r="G22" s="19" t="s">
        <v>116</v>
      </c>
      <c r="H22">
        <f t="shared" si="0"/>
        <v>1.93</v>
      </c>
      <c r="I22">
        <f t="shared" si="1"/>
        <v>1.1399999999999999</v>
      </c>
    </row>
    <row r="23" spans="1:9">
      <c r="A23" t="s">
        <v>64</v>
      </c>
      <c r="B23" s="16">
        <v>673</v>
      </c>
      <c r="C23" s="38">
        <v>42424.456944444442</v>
      </c>
      <c r="D23" s="39">
        <f t="shared" si="2"/>
        <v>2.2562499999985448</v>
      </c>
      <c r="E23" s="19">
        <v>1.53</v>
      </c>
      <c r="F23" s="19">
        <v>0.88800000000000001</v>
      </c>
      <c r="G23" s="19" t="s">
        <v>116</v>
      </c>
      <c r="H23">
        <f t="shared" si="0"/>
        <v>1.53</v>
      </c>
      <c r="I23">
        <f t="shared" si="1"/>
        <v>0.88800000000000001</v>
      </c>
    </row>
    <row r="24" spans="1:9">
      <c r="A24" t="s">
        <v>65</v>
      </c>
      <c r="B24" s="16">
        <v>674</v>
      </c>
      <c r="C24" s="38">
        <v>42424.456944444442</v>
      </c>
      <c r="D24" s="39">
        <f t="shared" si="2"/>
        <v>2.2562499999985448</v>
      </c>
      <c r="E24" s="19">
        <v>1.54</v>
      </c>
      <c r="F24" s="19">
        <v>0.90400000000000003</v>
      </c>
      <c r="G24" s="19" t="s">
        <v>116</v>
      </c>
      <c r="H24">
        <f t="shared" si="0"/>
        <v>1.54</v>
      </c>
      <c r="I24">
        <f t="shared" si="1"/>
        <v>0.90400000000000003</v>
      </c>
    </row>
    <row r="25" spans="1:9">
      <c r="A25" t="s">
        <v>66</v>
      </c>
      <c r="B25" s="16">
        <v>675</v>
      </c>
      <c r="C25" s="38">
        <v>42424.470138888886</v>
      </c>
      <c r="D25" s="39">
        <f t="shared" si="2"/>
        <v>2.2694444444423425</v>
      </c>
      <c r="E25" s="19">
        <v>2.06</v>
      </c>
      <c r="F25" s="19">
        <v>1.1599999999999999</v>
      </c>
      <c r="G25" s="19" t="s">
        <v>116</v>
      </c>
      <c r="H25">
        <f t="shared" si="0"/>
        <v>2.06</v>
      </c>
      <c r="I25">
        <f t="shared" si="1"/>
        <v>1.1599999999999999</v>
      </c>
    </row>
    <row r="26" spans="1:9">
      <c r="A26" t="s">
        <v>67</v>
      </c>
      <c r="B26" s="16">
        <v>676</v>
      </c>
      <c r="C26" s="38">
        <v>42424.470138888886</v>
      </c>
      <c r="D26" s="39">
        <f t="shared" si="2"/>
        <v>2.2694444444423425</v>
      </c>
      <c r="E26" s="19">
        <v>1.65</v>
      </c>
      <c r="F26" s="19">
        <v>0.97</v>
      </c>
      <c r="G26" s="19" t="s">
        <v>116</v>
      </c>
      <c r="H26">
        <f t="shared" si="0"/>
        <v>1.65</v>
      </c>
      <c r="I26">
        <f t="shared" si="1"/>
        <v>0.97</v>
      </c>
    </row>
    <row r="27" spans="1:9">
      <c r="A27" t="s">
        <v>68</v>
      </c>
      <c r="B27" s="16">
        <v>677</v>
      </c>
      <c r="C27" s="38">
        <v>42424.470138888886</v>
      </c>
      <c r="D27" s="39">
        <f t="shared" si="2"/>
        <v>2.2694444444423425</v>
      </c>
      <c r="E27" s="19">
        <v>1.48</v>
      </c>
      <c r="F27" s="19">
        <v>0.89200000000000002</v>
      </c>
      <c r="G27" s="19" t="s">
        <v>116</v>
      </c>
      <c r="H27">
        <f t="shared" si="0"/>
        <v>1.48</v>
      </c>
      <c r="I27">
        <f t="shared" si="1"/>
        <v>0.89200000000000002</v>
      </c>
    </row>
    <row r="28" spans="1:9">
      <c r="A28" t="s">
        <v>69</v>
      </c>
      <c r="B28" s="16">
        <v>678</v>
      </c>
      <c r="C28" s="38">
        <v>42424.484722222223</v>
      </c>
      <c r="D28" s="39">
        <f t="shared" si="2"/>
        <v>2.2840277777795563</v>
      </c>
      <c r="E28" s="19">
        <v>1.56</v>
      </c>
      <c r="F28" s="19">
        <v>0.93100000000000005</v>
      </c>
      <c r="G28" s="19" t="s">
        <v>116</v>
      </c>
      <c r="H28">
        <f t="shared" si="0"/>
        <v>1.56</v>
      </c>
      <c r="I28">
        <f t="shared" si="1"/>
        <v>0.93100000000000005</v>
      </c>
    </row>
    <row r="29" spans="1:9">
      <c r="A29" t="s">
        <v>70</v>
      </c>
      <c r="B29" s="16">
        <v>679</v>
      </c>
      <c r="C29" s="38">
        <v>42424.484722222223</v>
      </c>
      <c r="D29" s="39">
        <f t="shared" si="2"/>
        <v>2.2840277777795563</v>
      </c>
      <c r="E29" s="19">
        <v>1.36</v>
      </c>
      <c r="F29" s="19">
        <v>0.81699999999999995</v>
      </c>
      <c r="G29" s="19" t="s">
        <v>116</v>
      </c>
      <c r="H29">
        <f t="shared" si="0"/>
        <v>1.36</v>
      </c>
      <c r="I29">
        <f t="shared" si="1"/>
        <v>0.81699999999999995</v>
      </c>
    </row>
    <row r="30" spans="1:9">
      <c r="A30" t="s">
        <v>71</v>
      </c>
      <c r="B30" s="16">
        <v>680</v>
      </c>
      <c r="C30" s="38">
        <v>42424.484722222223</v>
      </c>
      <c r="D30" s="39">
        <f t="shared" si="2"/>
        <v>2.2840277777795563</v>
      </c>
      <c r="E30" s="19">
        <v>1.44</v>
      </c>
      <c r="F30" s="19">
        <v>0.85799999999999998</v>
      </c>
      <c r="G30" s="19" t="s">
        <v>116</v>
      </c>
      <c r="H30">
        <f t="shared" si="0"/>
        <v>1.44</v>
      </c>
      <c r="I30">
        <f t="shared" si="1"/>
        <v>0.85799999999999998</v>
      </c>
    </row>
    <row r="31" spans="1:9">
      <c r="A31" t="s">
        <v>54</v>
      </c>
      <c r="B31" s="16">
        <v>702</v>
      </c>
      <c r="C31" s="38">
        <v>42425.340277777781</v>
      </c>
      <c r="D31" s="39">
        <f t="shared" si="2"/>
        <v>3.1395833333372138</v>
      </c>
      <c r="E31" s="19">
        <v>2.67</v>
      </c>
      <c r="F31" s="19">
        <v>1.65</v>
      </c>
      <c r="G31" s="19" t="s">
        <v>116</v>
      </c>
      <c r="H31">
        <f t="shared" si="0"/>
        <v>2.67</v>
      </c>
      <c r="I31">
        <f t="shared" si="1"/>
        <v>1.65</v>
      </c>
    </row>
    <row r="32" spans="1:9">
      <c r="A32" t="s">
        <v>55</v>
      </c>
      <c r="B32" s="16">
        <f>B31+1</f>
        <v>703</v>
      </c>
      <c r="C32" s="38">
        <v>42425.340277777781</v>
      </c>
      <c r="D32" s="39">
        <f t="shared" si="2"/>
        <v>3.1395833333372138</v>
      </c>
      <c r="E32" s="19">
        <v>2.25</v>
      </c>
      <c r="F32" s="19">
        <v>1.34</v>
      </c>
      <c r="G32" s="19" t="s">
        <v>116</v>
      </c>
      <c r="H32">
        <f t="shared" si="0"/>
        <v>2.25</v>
      </c>
      <c r="I32">
        <f t="shared" si="1"/>
        <v>1.34</v>
      </c>
    </row>
    <row r="33" spans="1:9">
      <c r="A33" t="s">
        <v>56</v>
      </c>
      <c r="B33" s="16">
        <f t="shared" ref="B33:B48" si="3">B32+1</f>
        <v>704</v>
      </c>
      <c r="C33" s="38">
        <v>42425.340277777781</v>
      </c>
      <c r="D33" s="39">
        <f t="shared" si="2"/>
        <v>3.1395833333372138</v>
      </c>
      <c r="E33" s="19">
        <v>1.96</v>
      </c>
      <c r="F33" s="19">
        <v>1.2</v>
      </c>
      <c r="G33" s="19" t="s">
        <v>116</v>
      </c>
      <c r="H33">
        <f t="shared" si="0"/>
        <v>1.96</v>
      </c>
      <c r="I33">
        <f t="shared" si="1"/>
        <v>1.2</v>
      </c>
    </row>
    <row r="34" spans="1:9">
      <c r="A34" t="s">
        <v>57</v>
      </c>
      <c r="B34" s="16">
        <f t="shared" si="3"/>
        <v>705</v>
      </c>
      <c r="C34" s="38">
        <v>42425.347916666666</v>
      </c>
      <c r="D34" s="39">
        <f t="shared" si="2"/>
        <v>3.1472222222218988</v>
      </c>
      <c r="E34" s="19">
        <v>4.12</v>
      </c>
      <c r="F34" s="19">
        <v>2.5099999999999998</v>
      </c>
      <c r="G34" s="19" t="s">
        <v>116</v>
      </c>
      <c r="H34">
        <f t="shared" si="0"/>
        <v>4.12</v>
      </c>
      <c r="I34">
        <f t="shared" si="1"/>
        <v>2.5099999999999998</v>
      </c>
    </row>
    <row r="35" spans="1:9">
      <c r="A35" t="s">
        <v>58</v>
      </c>
      <c r="B35" s="16">
        <f t="shared" si="3"/>
        <v>706</v>
      </c>
      <c r="C35" s="38">
        <v>42425.347916666666</v>
      </c>
      <c r="D35" s="39">
        <f t="shared" si="2"/>
        <v>3.1472222222218988</v>
      </c>
      <c r="E35" s="19">
        <v>4.41</v>
      </c>
      <c r="F35" s="19">
        <v>2.6</v>
      </c>
      <c r="G35" s="19" t="s">
        <v>117</v>
      </c>
      <c r="H35">
        <f t="shared" si="0"/>
        <v>4.6100000000000003</v>
      </c>
      <c r="I35">
        <f t="shared" si="1"/>
        <v>2.8000000000000003</v>
      </c>
    </row>
    <row r="36" spans="1:9">
      <c r="A36" t="s">
        <v>59</v>
      </c>
      <c r="B36" s="16">
        <f t="shared" si="3"/>
        <v>707</v>
      </c>
      <c r="C36" s="38">
        <v>42425.347916666666</v>
      </c>
      <c r="D36" s="39">
        <f t="shared" si="2"/>
        <v>3.1472222222218988</v>
      </c>
      <c r="E36" s="19">
        <v>4.6500000000000004</v>
      </c>
      <c r="F36" s="19">
        <v>2.62</v>
      </c>
      <c r="G36" s="19" t="s">
        <v>117</v>
      </c>
      <c r="H36">
        <f t="shared" si="0"/>
        <v>4.8500000000000005</v>
      </c>
      <c r="I36">
        <f t="shared" si="1"/>
        <v>2.8200000000000003</v>
      </c>
    </row>
    <row r="37" spans="1:9">
      <c r="A37" t="s">
        <v>60</v>
      </c>
      <c r="B37" s="16">
        <f t="shared" si="3"/>
        <v>708</v>
      </c>
      <c r="C37" s="38">
        <v>42425.36041666667</v>
      </c>
      <c r="D37" s="39">
        <f t="shared" si="2"/>
        <v>3.1597222222262644</v>
      </c>
      <c r="E37" s="19">
        <v>2.81</v>
      </c>
      <c r="F37" s="19">
        <v>1.69</v>
      </c>
      <c r="G37" s="19" t="s">
        <v>116</v>
      </c>
      <c r="H37">
        <f t="shared" si="0"/>
        <v>2.81</v>
      </c>
      <c r="I37">
        <f t="shared" si="1"/>
        <v>1.69</v>
      </c>
    </row>
    <row r="38" spans="1:9">
      <c r="A38" t="s">
        <v>61</v>
      </c>
      <c r="B38" s="16">
        <f t="shared" si="3"/>
        <v>709</v>
      </c>
      <c r="C38" s="38">
        <v>42425.36041666667</v>
      </c>
      <c r="D38" s="39">
        <f t="shared" si="2"/>
        <v>3.1597222222262644</v>
      </c>
      <c r="E38" s="19">
        <v>3.13</v>
      </c>
      <c r="F38" s="19">
        <v>1.84</v>
      </c>
      <c r="G38" s="19" t="s">
        <v>116</v>
      </c>
      <c r="H38">
        <f t="shared" si="0"/>
        <v>3.13</v>
      </c>
      <c r="I38">
        <f t="shared" si="1"/>
        <v>1.84</v>
      </c>
    </row>
    <row r="39" spans="1:9">
      <c r="A39" t="s">
        <v>62</v>
      </c>
      <c r="B39" s="16">
        <f t="shared" si="3"/>
        <v>710</v>
      </c>
      <c r="C39" s="38">
        <v>42425.36041666667</v>
      </c>
      <c r="D39" s="39">
        <f t="shared" si="2"/>
        <v>3.1597222222262644</v>
      </c>
      <c r="E39" s="19">
        <v>1.74</v>
      </c>
      <c r="F39" s="19">
        <v>1.04</v>
      </c>
      <c r="G39" s="19" t="s">
        <v>116</v>
      </c>
      <c r="H39">
        <f t="shared" si="0"/>
        <v>1.74</v>
      </c>
      <c r="I39">
        <f t="shared" si="1"/>
        <v>1.04</v>
      </c>
    </row>
    <row r="40" spans="1:9">
      <c r="A40" t="s">
        <v>63</v>
      </c>
      <c r="B40" s="16">
        <f t="shared" si="3"/>
        <v>711</v>
      </c>
      <c r="C40" s="38">
        <v>42425.378472222219</v>
      </c>
      <c r="D40" s="39">
        <f t="shared" si="2"/>
        <v>3.1777777777751908</v>
      </c>
      <c r="E40" s="19">
        <v>1.89</v>
      </c>
      <c r="F40" s="19">
        <v>1.1100000000000001</v>
      </c>
      <c r="G40" s="19" t="s">
        <v>116</v>
      </c>
      <c r="H40">
        <f t="shared" si="0"/>
        <v>1.89</v>
      </c>
      <c r="I40">
        <f t="shared" si="1"/>
        <v>1.1100000000000001</v>
      </c>
    </row>
    <row r="41" spans="1:9">
      <c r="A41" t="s">
        <v>64</v>
      </c>
      <c r="B41" s="16">
        <f t="shared" si="3"/>
        <v>712</v>
      </c>
      <c r="C41" s="38">
        <v>42425.378472222219</v>
      </c>
      <c r="D41" s="39">
        <f t="shared" si="2"/>
        <v>3.1777777777751908</v>
      </c>
      <c r="E41" s="19">
        <v>1.38</v>
      </c>
      <c r="F41" s="19">
        <v>0.81200000000000006</v>
      </c>
      <c r="G41" s="19" t="s">
        <v>116</v>
      </c>
      <c r="H41">
        <f t="shared" si="0"/>
        <v>1.38</v>
      </c>
      <c r="I41">
        <f t="shared" si="1"/>
        <v>0.81200000000000006</v>
      </c>
    </row>
    <row r="42" spans="1:9">
      <c r="A42" t="s">
        <v>65</v>
      </c>
      <c r="B42" s="16">
        <f t="shared" si="3"/>
        <v>713</v>
      </c>
      <c r="C42" s="38">
        <v>42425.378472222219</v>
      </c>
      <c r="D42" s="39">
        <f t="shared" si="2"/>
        <v>3.1777777777751908</v>
      </c>
      <c r="E42" s="19">
        <v>1.21</v>
      </c>
      <c r="F42" s="19">
        <v>0.73199999999999998</v>
      </c>
      <c r="G42" s="19" t="s">
        <v>116</v>
      </c>
      <c r="H42">
        <f t="shared" si="0"/>
        <v>1.21</v>
      </c>
      <c r="I42">
        <f t="shared" si="1"/>
        <v>0.73199999999999998</v>
      </c>
    </row>
    <row r="43" spans="1:9">
      <c r="A43" t="s">
        <v>66</v>
      </c>
      <c r="B43" s="16">
        <f t="shared" si="3"/>
        <v>714</v>
      </c>
      <c r="C43" s="38">
        <v>42425.399305555555</v>
      </c>
      <c r="D43" s="39">
        <f t="shared" si="2"/>
        <v>3.1986111111109494</v>
      </c>
      <c r="E43" s="19">
        <v>1.41</v>
      </c>
      <c r="F43" s="19">
        <v>0.82599999999999996</v>
      </c>
      <c r="G43" s="19" t="s">
        <v>116</v>
      </c>
      <c r="H43">
        <f t="shared" si="0"/>
        <v>1.41</v>
      </c>
      <c r="I43">
        <f t="shared" si="1"/>
        <v>0.82599999999999996</v>
      </c>
    </row>
    <row r="44" spans="1:9">
      <c r="A44" t="s">
        <v>67</v>
      </c>
      <c r="B44" s="16">
        <f t="shared" si="3"/>
        <v>715</v>
      </c>
      <c r="C44" s="38">
        <v>42425.399305555555</v>
      </c>
      <c r="D44" s="39">
        <f t="shared" si="2"/>
        <v>3.1986111111109494</v>
      </c>
      <c r="E44" s="19">
        <v>1.57</v>
      </c>
      <c r="F44" s="19">
        <v>0.91100000000000003</v>
      </c>
      <c r="G44" s="19" t="s">
        <v>116</v>
      </c>
      <c r="H44">
        <f t="shared" si="0"/>
        <v>1.57</v>
      </c>
      <c r="I44">
        <f t="shared" si="1"/>
        <v>0.91100000000000003</v>
      </c>
    </row>
    <row r="45" spans="1:9">
      <c r="A45" t="s">
        <v>68</v>
      </c>
      <c r="B45" s="16">
        <f t="shared" si="3"/>
        <v>716</v>
      </c>
      <c r="C45" s="38">
        <v>42425.399305555555</v>
      </c>
      <c r="D45" s="39">
        <f t="shared" si="2"/>
        <v>3.1986111111109494</v>
      </c>
      <c r="E45" s="19">
        <v>1.22</v>
      </c>
      <c r="F45" s="19">
        <v>0.72099999999999997</v>
      </c>
      <c r="G45" s="19" t="s">
        <v>116</v>
      </c>
      <c r="H45">
        <f t="shared" si="0"/>
        <v>1.22</v>
      </c>
      <c r="I45">
        <f t="shared" si="1"/>
        <v>0.72099999999999997</v>
      </c>
    </row>
    <row r="46" spans="1:9">
      <c r="A46" t="s">
        <v>69</v>
      </c>
      <c r="B46" s="16">
        <f t="shared" si="3"/>
        <v>717</v>
      </c>
      <c r="C46" s="38">
        <v>42425.414583333331</v>
      </c>
      <c r="D46" s="39">
        <f t="shared" si="2"/>
        <v>3.2138888888875954</v>
      </c>
      <c r="E46" s="19">
        <v>1.41</v>
      </c>
      <c r="F46" s="19">
        <v>0.80400000000000005</v>
      </c>
      <c r="G46" s="19" t="s">
        <v>116</v>
      </c>
      <c r="H46">
        <f t="shared" si="0"/>
        <v>1.41</v>
      </c>
      <c r="I46">
        <f t="shared" si="1"/>
        <v>0.80400000000000005</v>
      </c>
    </row>
    <row r="47" spans="1:9">
      <c r="A47" t="s">
        <v>70</v>
      </c>
      <c r="B47" s="16">
        <f t="shared" si="3"/>
        <v>718</v>
      </c>
      <c r="C47" s="38">
        <v>42425.414583333331</v>
      </c>
      <c r="D47" s="39">
        <f t="shared" si="2"/>
        <v>3.2138888888875954</v>
      </c>
      <c r="E47" s="19">
        <v>1.28</v>
      </c>
      <c r="F47" s="19">
        <v>0.754</v>
      </c>
      <c r="G47" s="19" t="s">
        <v>116</v>
      </c>
      <c r="H47">
        <f t="shared" si="0"/>
        <v>1.28</v>
      </c>
      <c r="I47">
        <f t="shared" si="1"/>
        <v>0.754</v>
      </c>
    </row>
    <row r="48" spans="1:9">
      <c r="A48" t="s">
        <v>71</v>
      </c>
      <c r="B48" s="16">
        <f t="shared" si="3"/>
        <v>719</v>
      </c>
      <c r="C48" s="38">
        <v>42425.414583333331</v>
      </c>
      <c r="D48" s="39">
        <f t="shared" si="2"/>
        <v>3.2138888888875954</v>
      </c>
      <c r="E48" s="19">
        <v>1.21</v>
      </c>
      <c r="F48" s="19">
        <v>0.71599999999999997</v>
      </c>
      <c r="G48" s="19" t="s">
        <v>116</v>
      </c>
      <c r="H48">
        <f t="shared" si="0"/>
        <v>1.21</v>
      </c>
      <c r="I48">
        <f t="shared" si="1"/>
        <v>0.71599999999999997</v>
      </c>
    </row>
    <row r="49" spans="1:9">
      <c r="A49" t="s">
        <v>100</v>
      </c>
      <c r="B49" s="16">
        <v>720</v>
      </c>
      <c r="C49" s="38">
        <v>42426.333333333336</v>
      </c>
      <c r="D49" s="39">
        <f t="shared" si="2"/>
        <v>4.132638888891961</v>
      </c>
      <c r="E49" s="19">
        <v>2.6</v>
      </c>
      <c r="F49" s="19">
        <v>1.54</v>
      </c>
      <c r="G49" s="19" t="s">
        <v>116</v>
      </c>
      <c r="H49">
        <f t="shared" si="0"/>
        <v>2.6</v>
      </c>
      <c r="I49">
        <f t="shared" si="1"/>
        <v>1.54</v>
      </c>
    </row>
    <row r="50" spans="1:9">
      <c r="A50" t="s">
        <v>101</v>
      </c>
      <c r="B50" s="16">
        <v>720</v>
      </c>
      <c r="C50" s="38">
        <v>42426.333333333336</v>
      </c>
      <c r="D50" s="39">
        <f t="shared" si="2"/>
        <v>4.132638888891961</v>
      </c>
      <c r="E50" s="19">
        <v>2.78</v>
      </c>
      <c r="F50" s="19">
        <v>1.66</v>
      </c>
      <c r="G50" s="19" t="s">
        <v>116</v>
      </c>
      <c r="H50">
        <f t="shared" si="0"/>
        <v>2.78</v>
      </c>
      <c r="I50">
        <f t="shared" si="1"/>
        <v>1.66</v>
      </c>
    </row>
    <row r="51" spans="1:9">
      <c r="A51" t="s">
        <v>122</v>
      </c>
      <c r="B51" s="16">
        <v>720</v>
      </c>
      <c r="C51" s="38">
        <v>42426.333333333336</v>
      </c>
      <c r="D51" s="39">
        <f t="shared" si="2"/>
        <v>4.132638888891961</v>
      </c>
      <c r="E51" s="19">
        <v>2.61</v>
      </c>
      <c r="F51" s="19">
        <v>1.57</v>
      </c>
      <c r="G51" s="19" t="s">
        <v>116</v>
      </c>
      <c r="H51">
        <f t="shared" si="0"/>
        <v>2.61</v>
      </c>
      <c r="I51">
        <f t="shared" si="1"/>
        <v>1.57</v>
      </c>
    </row>
    <row r="52" spans="1:9">
      <c r="A52" t="s">
        <v>55</v>
      </c>
      <c r="B52" s="16">
        <v>721</v>
      </c>
      <c r="C52" s="38">
        <v>42426.333333333336</v>
      </c>
      <c r="D52" s="39">
        <f t="shared" si="2"/>
        <v>4.132638888891961</v>
      </c>
      <c r="E52" s="19">
        <v>2.2200000000000002</v>
      </c>
      <c r="F52" s="19">
        <v>1.29</v>
      </c>
      <c r="G52" s="19" t="s">
        <v>116</v>
      </c>
      <c r="H52">
        <f t="shared" si="0"/>
        <v>2.2200000000000002</v>
      </c>
      <c r="I52">
        <f t="shared" si="1"/>
        <v>1.29</v>
      </c>
    </row>
    <row r="53" spans="1:9">
      <c r="A53" t="s">
        <v>56</v>
      </c>
      <c r="B53" s="16">
        <v>722</v>
      </c>
      <c r="C53" s="38">
        <v>42426.333333333336</v>
      </c>
      <c r="D53" s="39">
        <f t="shared" si="2"/>
        <v>4.132638888891961</v>
      </c>
      <c r="E53" s="19">
        <v>2.29</v>
      </c>
      <c r="F53" s="19">
        <v>1.32</v>
      </c>
      <c r="G53" s="19" t="s">
        <v>116</v>
      </c>
      <c r="H53">
        <f t="shared" si="0"/>
        <v>2.29</v>
      </c>
      <c r="I53">
        <f t="shared" si="1"/>
        <v>1.32</v>
      </c>
    </row>
    <row r="54" spans="1:9">
      <c r="A54" t="s">
        <v>123</v>
      </c>
      <c r="B54" s="16">
        <v>723</v>
      </c>
      <c r="C54" s="38">
        <v>42426.34375</v>
      </c>
      <c r="D54" s="39">
        <f t="shared" si="2"/>
        <v>4.1430555555562023</v>
      </c>
      <c r="E54" s="19">
        <v>4.03</v>
      </c>
      <c r="F54" s="19">
        <v>2.15</v>
      </c>
      <c r="G54" s="19" t="s">
        <v>117</v>
      </c>
      <c r="H54">
        <f t="shared" si="0"/>
        <v>4.2300000000000004</v>
      </c>
      <c r="I54">
        <f t="shared" si="1"/>
        <v>2.35</v>
      </c>
    </row>
    <row r="55" spans="1:9">
      <c r="A55" t="s">
        <v>124</v>
      </c>
      <c r="B55" s="16">
        <v>723</v>
      </c>
      <c r="C55" s="38">
        <v>42426.34375</v>
      </c>
      <c r="D55" s="39">
        <f t="shared" si="2"/>
        <v>4.1430555555562023</v>
      </c>
      <c r="E55" s="19">
        <v>3.92</v>
      </c>
      <c r="F55" s="19">
        <v>2.31</v>
      </c>
      <c r="G55" s="19" t="s">
        <v>117</v>
      </c>
      <c r="H55">
        <f t="shared" si="0"/>
        <v>4.12</v>
      </c>
      <c r="I55">
        <f t="shared" si="1"/>
        <v>2.5100000000000002</v>
      </c>
    </row>
    <row r="56" spans="1:9">
      <c r="A56" t="s">
        <v>125</v>
      </c>
      <c r="B56" s="16">
        <v>723</v>
      </c>
      <c r="C56" s="38">
        <v>42426.34375</v>
      </c>
      <c r="D56" s="39">
        <f t="shared" si="2"/>
        <v>4.1430555555562023</v>
      </c>
      <c r="E56" s="19">
        <v>3.87</v>
      </c>
      <c r="F56" s="19">
        <v>2.17</v>
      </c>
      <c r="G56" s="19" t="s">
        <v>117</v>
      </c>
      <c r="H56">
        <f t="shared" si="0"/>
        <v>4.07</v>
      </c>
      <c r="I56">
        <f t="shared" si="1"/>
        <v>2.37</v>
      </c>
    </row>
    <row r="57" spans="1:9">
      <c r="A57" t="s">
        <v>57</v>
      </c>
      <c r="B57" s="16">
        <v>724</v>
      </c>
      <c r="C57" s="38">
        <v>42426.34375</v>
      </c>
      <c r="D57" s="39">
        <f t="shared" si="2"/>
        <v>4.1430555555562023</v>
      </c>
      <c r="E57" s="19">
        <v>3.98</v>
      </c>
      <c r="F57" s="19">
        <v>2.29</v>
      </c>
      <c r="G57" s="19" t="s">
        <v>117</v>
      </c>
      <c r="H57">
        <f t="shared" si="0"/>
        <v>4.18</v>
      </c>
      <c r="I57">
        <f t="shared" si="1"/>
        <v>2.4900000000000002</v>
      </c>
    </row>
    <row r="58" spans="1:9">
      <c r="A58" t="s">
        <v>58</v>
      </c>
      <c r="B58" s="16">
        <v>725</v>
      </c>
      <c r="C58" s="38">
        <v>42426.34375</v>
      </c>
      <c r="D58" s="39">
        <f t="shared" si="2"/>
        <v>4.1430555555562023</v>
      </c>
      <c r="E58" s="19">
        <v>4.5599999999999996</v>
      </c>
      <c r="F58" s="19">
        <v>2.63</v>
      </c>
      <c r="G58" s="19" t="s">
        <v>117</v>
      </c>
      <c r="H58">
        <f t="shared" si="0"/>
        <v>4.76</v>
      </c>
      <c r="I58">
        <f t="shared" si="1"/>
        <v>2.83</v>
      </c>
    </row>
    <row r="59" spans="1:9">
      <c r="A59" t="s">
        <v>126</v>
      </c>
      <c r="B59" s="16">
        <v>726</v>
      </c>
      <c r="C59" s="38">
        <v>42426.364583333336</v>
      </c>
      <c r="D59" s="39">
        <f t="shared" si="2"/>
        <v>4.163888888891961</v>
      </c>
      <c r="E59" s="19">
        <v>2.41</v>
      </c>
      <c r="F59" s="19">
        <v>1.43</v>
      </c>
      <c r="G59" s="19" t="s">
        <v>116</v>
      </c>
      <c r="H59">
        <f t="shared" si="0"/>
        <v>2.41</v>
      </c>
      <c r="I59">
        <f t="shared" si="1"/>
        <v>1.43</v>
      </c>
    </row>
    <row r="60" spans="1:9">
      <c r="A60" t="s">
        <v>127</v>
      </c>
      <c r="B60" s="16">
        <v>726</v>
      </c>
      <c r="C60" s="38">
        <v>42426.364583333336</v>
      </c>
      <c r="D60" s="39">
        <f t="shared" si="2"/>
        <v>4.163888888891961</v>
      </c>
      <c r="E60" s="19">
        <v>2.44</v>
      </c>
      <c r="F60" s="19">
        <v>1.48</v>
      </c>
      <c r="G60" s="19" t="s">
        <v>116</v>
      </c>
      <c r="H60">
        <f t="shared" si="0"/>
        <v>2.44</v>
      </c>
      <c r="I60">
        <f t="shared" si="1"/>
        <v>1.48</v>
      </c>
    </row>
    <row r="61" spans="1:9">
      <c r="A61" t="s">
        <v>128</v>
      </c>
      <c r="B61" s="16">
        <v>726</v>
      </c>
      <c r="C61" s="38">
        <v>42426.364583333336</v>
      </c>
      <c r="D61" s="39">
        <f t="shared" si="2"/>
        <v>4.163888888891961</v>
      </c>
      <c r="E61" s="19">
        <v>2.36</v>
      </c>
      <c r="F61" s="19">
        <v>1.4</v>
      </c>
      <c r="G61" s="19" t="s">
        <v>116</v>
      </c>
      <c r="H61">
        <f t="shared" si="0"/>
        <v>2.36</v>
      </c>
      <c r="I61">
        <f t="shared" si="1"/>
        <v>1.4</v>
      </c>
    </row>
    <row r="62" spans="1:9">
      <c r="A62" t="s">
        <v>61</v>
      </c>
      <c r="B62" s="16">
        <v>727</v>
      </c>
      <c r="C62" s="38">
        <v>42426.364583333336</v>
      </c>
      <c r="D62" s="39">
        <f t="shared" si="2"/>
        <v>4.163888888891961</v>
      </c>
      <c r="E62" s="19">
        <v>2.48</v>
      </c>
      <c r="F62" s="19">
        <v>1.51</v>
      </c>
      <c r="G62" s="19" t="s">
        <v>116</v>
      </c>
      <c r="H62">
        <f t="shared" si="0"/>
        <v>2.48</v>
      </c>
      <c r="I62">
        <f t="shared" si="1"/>
        <v>1.51</v>
      </c>
    </row>
    <row r="63" spans="1:9">
      <c r="A63" t="s">
        <v>62</v>
      </c>
      <c r="B63" s="16">
        <v>728</v>
      </c>
      <c r="C63" s="38">
        <v>42426.364583333336</v>
      </c>
      <c r="D63" s="39">
        <f t="shared" si="2"/>
        <v>4.163888888891961</v>
      </c>
      <c r="E63" s="19">
        <v>1.54</v>
      </c>
      <c r="F63" s="19">
        <v>0.92200000000000004</v>
      </c>
      <c r="G63" s="19" t="s">
        <v>116</v>
      </c>
      <c r="H63">
        <f t="shared" si="0"/>
        <v>1.54</v>
      </c>
      <c r="I63">
        <f t="shared" si="1"/>
        <v>0.92200000000000004</v>
      </c>
    </row>
    <row r="64" spans="1:9">
      <c r="A64" t="s">
        <v>129</v>
      </c>
      <c r="B64" s="16">
        <v>729</v>
      </c>
      <c r="C64" s="38">
        <v>42426.385416666664</v>
      </c>
      <c r="D64" s="39">
        <f t="shared" si="2"/>
        <v>4.1847222222204437</v>
      </c>
      <c r="E64" s="19">
        <v>1.91</v>
      </c>
      <c r="F64" s="19">
        <v>1.1299999999999999</v>
      </c>
      <c r="G64" s="19" t="s">
        <v>116</v>
      </c>
      <c r="H64">
        <f t="shared" si="0"/>
        <v>1.91</v>
      </c>
      <c r="I64">
        <f t="shared" si="1"/>
        <v>1.1299999999999999</v>
      </c>
    </row>
    <row r="65" spans="1:9">
      <c r="A65" t="s">
        <v>130</v>
      </c>
      <c r="B65" s="16">
        <v>729</v>
      </c>
      <c r="C65" s="38">
        <v>42426.385416666664</v>
      </c>
      <c r="D65" s="39">
        <f t="shared" si="2"/>
        <v>4.1847222222204437</v>
      </c>
      <c r="E65" s="19">
        <v>2.02</v>
      </c>
      <c r="F65" s="19">
        <v>1.2</v>
      </c>
      <c r="G65" s="19" t="s">
        <v>116</v>
      </c>
      <c r="H65">
        <f t="shared" si="0"/>
        <v>2.02</v>
      </c>
      <c r="I65">
        <f t="shared" si="1"/>
        <v>1.2</v>
      </c>
    </row>
    <row r="66" spans="1:9">
      <c r="A66" t="s">
        <v>131</v>
      </c>
      <c r="B66" s="16">
        <v>729</v>
      </c>
      <c r="C66" s="38">
        <v>42426.385416666664</v>
      </c>
      <c r="D66" s="39">
        <f t="shared" si="2"/>
        <v>4.1847222222204437</v>
      </c>
      <c r="E66" s="19">
        <v>2.0099999999999998</v>
      </c>
      <c r="F66" s="19">
        <v>1.18</v>
      </c>
      <c r="G66" s="19" t="s">
        <v>116</v>
      </c>
      <c r="H66">
        <f t="shared" si="0"/>
        <v>2.0099999999999998</v>
      </c>
      <c r="I66">
        <f t="shared" si="1"/>
        <v>1.18</v>
      </c>
    </row>
    <row r="67" spans="1:9">
      <c r="A67" t="s">
        <v>64</v>
      </c>
      <c r="B67" s="16">
        <v>730</v>
      </c>
      <c r="C67" s="38">
        <v>42426.385416666664</v>
      </c>
      <c r="D67" s="39">
        <f t="shared" si="2"/>
        <v>4.1847222222204437</v>
      </c>
      <c r="E67" s="19">
        <v>1.49</v>
      </c>
      <c r="F67" s="19">
        <v>0.86599999999999999</v>
      </c>
      <c r="G67" s="19" t="s">
        <v>116</v>
      </c>
      <c r="H67">
        <f t="shared" si="0"/>
        <v>1.49</v>
      </c>
      <c r="I67">
        <f t="shared" si="1"/>
        <v>0.86599999999999999</v>
      </c>
    </row>
    <row r="68" spans="1:9">
      <c r="A68" t="s">
        <v>65</v>
      </c>
      <c r="B68" s="16">
        <v>731</v>
      </c>
      <c r="C68" s="38">
        <v>42426.385416666664</v>
      </c>
      <c r="D68" s="39">
        <f t="shared" si="2"/>
        <v>4.1847222222204437</v>
      </c>
      <c r="E68" s="19">
        <v>1.29</v>
      </c>
      <c r="F68" s="19">
        <v>0.76200000000000001</v>
      </c>
      <c r="G68" s="19" t="s">
        <v>116</v>
      </c>
      <c r="H68">
        <f t="shared" si="0"/>
        <v>1.29</v>
      </c>
      <c r="I68">
        <f t="shared" si="1"/>
        <v>0.76200000000000001</v>
      </c>
    </row>
    <row r="69" spans="1:9">
      <c r="A69" t="s">
        <v>132</v>
      </c>
      <c r="B69" s="16">
        <v>732</v>
      </c>
      <c r="C69" s="38">
        <v>42426.40625</v>
      </c>
      <c r="D69" s="39">
        <f t="shared" si="2"/>
        <v>4.2055555555562023</v>
      </c>
      <c r="E69" s="19">
        <v>1.43</v>
      </c>
      <c r="F69" s="19">
        <v>0.83499999999999996</v>
      </c>
      <c r="G69" s="19" t="s">
        <v>116</v>
      </c>
      <c r="H69">
        <f t="shared" si="0"/>
        <v>1.43</v>
      </c>
      <c r="I69">
        <f t="shared" si="1"/>
        <v>0.83499999999999996</v>
      </c>
    </row>
    <row r="70" spans="1:9">
      <c r="A70" t="s">
        <v>133</v>
      </c>
      <c r="B70" s="16">
        <v>732</v>
      </c>
      <c r="C70" s="38">
        <v>42426.40625</v>
      </c>
      <c r="D70" s="39">
        <f t="shared" si="2"/>
        <v>4.2055555555562023</v>
      </c>
      <c r="E70" s="19">
        <v>1.51</v>
      </c>
      <c r="F70" s="19">
        <v>0.89200000000000002</v>
      </c>
      <c r="G70" s="19" t="s">
        <v>116</v>
      </c>
      <c r="H70">
        <f t="shared" si="0"/>
        <v>1.51</v>
      </c>
      <c r="I70">
        <f t="shared" si="1"/>
        <v>0.89200000000000002</v>
      </c>
    </row>
    <row r="71" spans="1:9">
      <c r="A71" t="s">
        <v>134</v>
      </c>
      <c r="B71">
        <v>732</v>
      </c>
      <c r="C71" s="38">
        <v>42426.40625</v>
      </c>
      <c r="D71" s="39">
        <f t="shared" si="2"/>
        <v>4.2055555555562023</v>
      </c>
      <c r="E71" s="19">
        <v>1.54</v>
      </c>
      <c r="F71" s="19">
        <v>0.93100000000000005</v>
      </c>
      <c r="G71" s="19" t="s">
        <v>116</v>
      </c>
      <c r="H71">
        <f t="shared" si="0"/>
        <v>1.54</v>
      </c>
      <c r="I71">
        <f t="shared" si="1"/>
        <v>0.93100000000000005</v>
      </c>
    </row>
    <row r="72" spans="1:9">
      <c r="A72" t="s">
        <v>67</v>
      </c>
      <c r="B72">
        <v>733</v>
      </c>
      <c r="C72" s="38">
        <v>42426.40625</v>
      </c>
      <c r="D72" s="39">
        <f t="shared" si="2"/>
        <v>4.2055555555562023</v>
      </c>
      <c r="E72" s="19">
        <v>1.54</v>
      </c>
      <c r="F72" s="19">
        <v>0.89200000000000002</v>
      </c>
      <c r="G72" s="19" t="s">
        <v>116</v>
      </c>
      <c r="H72">
        <f t="shared" si="0"/>
        <v>1.54</v>
      </c>
      <c r="I72">
        <f t="shared" si="1"/>
        <v>0.89200000000000002</v>
      </c>
    </row>
    <row r="73" spans="1:9">
      <c r="A73" t="s">
        <v>68</v>
      </c>
      <c r="B73">
        <v>734</v>
      </c>
      <c r="C73" s="38">
        <v>42426.40625</v>
      </c>
      <c r="D73" s="39">
        <f t="shared" si="2"/>
        <v>4.2055555555562023</v>
      </c>
      <c r="E73" s="19">
        <v>1.34</v>
      </c>
      <c r="F73" s="19">
        <v>0.79400000000000004</v>
      </c>
      <c r="G73" s="19" t="s">
        <v>116</v>
      </c>
      <c r="H73">
        <f t="shared" si="0"/>
        <v>1.34</v>
      </c>
      <c r="I73">
        <f t="shared" si="1"/>
        <v>0.79400000000000004</v>
      </c>
    </row>
    <row r="74" spans="1:9">
      <c r="A74" t="s">
        <v>135</v>
      </c>
      <c r="B74">
        <v>735</v>
      </c>
      <c r="C74" s="38">
        <v>42426.416666666664</v>
      </c>
      <c r="D74" s="39">
        <f t="shared" si="2"/>
        <v>4.2159722222204437</v>
      </c>
      <c r="E74" s="19">
        <v>1.4</v>
      </c>
      <c r="F74" s="19">
        <v>0.83299999999999996</v>
      </c>
      <c r="G74" s="19" t="s">
        <v>116</v>
      </c>
      <c r="H74">
        <f t="shared" si="0"/>
        <v>1.4</v>
      </c>
      <c r="I74">
        <f t="shared" si="1"/>
        <v>0.83299999999999996</v>
      </c>
    </row>
    <row r="75" spans="1:9">
      <c r="A75" t="s">
        <v>136</v>
      </c>
      <c r="B75">
        <v>735</v>
      </c>
      <c r="C75" s="38">
        <v>42426.416666666664</v>
      </c>
      <c r="D75" s="39">
        <f t="shared" si="2"/>
        <v>4.2159722222204437</v>
      </c>
      <c r="E75" s="19">
        <v>1.51</v>
      </c>
      <c r="F75" s="19">
        <v>0.91100000000000003</v>
      </c>
      <c r="G75" s="19" t="s">
        <v>116</v>
      </c>
      <c r="H75">
        <f t="shared" si="0"/>
        <v>1.51</v>
      </c>
      <c r="I75">
        <f t="shared" si="1"/>
        <v>0.91100000000000003</v>
      </c>
    </row>
    <row r="76" spans="1:9">
      <c r="A76" t="s">
        <v>137</v>
      </c>
      <c r="B76">
        <v>735</v>
      </c>
      <c r="C76" s="38">
        <v>42426.416666666664</v>
      </c>
      <c r="D76" s="39">
        <f t="shared" si="2"/>
        <v>4.2159722222204437</v>
      </c>
      <c r="E76" s="19">
        <v>1.49</v>
      </c>
      <c r="F76" s="19">
        <v>0.85799999999999998</v>
      </c>
      <c r="G76" s="19" t="s">
        <v>116</v>
      </c>
      <c r="H76">
        <f t="shared" si="0"/>
        <v>1.49</v>
      </c>
      <c r="I76">
        <f t="shared" si="1"/>
        <v>0.85799999999999998</v>
      </c>
    </row>
    <row r="77" spans="1:9">
      <c r="A77" t="s">
        <v>70</v>
      </c>
      <c r="B77">
        <v>736</v>
      </c>
      <c r="C77" s="38">
        <v>42426.416666666664</v>
      </c>
      <c r="D77" s="39">
        <f t="shared" si="2"/>
        <v>4.2159722222204437</v>
      </c>
      <c r="E77" s="19">
        <v>1.53</v>
      </c>
      <c r="F77" s="19">
        <v>0.88900000000000001</v>
      </c>
      <c r="G77" s="19" t="s">
        <v>116</v>
      </c>
      <c r="H77">
        <f t="shared" si="0"/>
        <v>1.53</v>
      </c>
      <c r="I77">
        <f t="shared" si="1"/>
        <v>0.88900000000000001</v>
      </c>
    </row>
    <row r="78" spans="1:9">
      <c r="A78" t="s">
        <v>71</v>
      </c>
      <c r="B78">
        <v>737</v>
      </c>
      <c r="C78" s="38">
        <v>42426.416666666664</v>
      </c>
      <c r="D78" s="39">
        <f t="shared" ref="D78" si="4">C78-$C$7</f>
        <v>4.2159722222204437</v>
      </c>
      <c r="E78" s="19">
        <v>1.53</v>
      </c>
      <c r="F78" s="19">
        <v>0.89500000000000002</v>
      </c>
      <c r="G78" s="19" t="s">
        <v>116</v>
      </c>
      <c r="H78">
        <f t="shared" ref="H78" si="5">E78-IF(G78="l",$L$3,IF(G78="m",$L$4,IF(G78="h",$L$5,-99)))</f>
        <v>1.53</v>
      </c>
      <c r="I78">
        <f t="shared" ref="I78" si="6">F78-IF(G78="l",$L$3,IF(G78="m",$L$4,IF(G78="h",$L$5,-99)))</f>
        <v>0.89500000000000002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U77"/>
  <sheetViews>
    <sheetView topLeftCell="A43" workbookViewId="0">
      <selection activeCell="L82" sqref="L82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15" customWidth="1"/>
    <col min="5" max="5" width="8.7265625" customWidth="1"/>
    <col min="6" max="6" width="9.81640625" customWidth="1"/>
    <col min="7" max="7" width="6.54296875" style="2" customWidth="1"/>
    <col min="8" max="8" width="6.54296875" style="13" customWidth="1"/>
    <col min="9" max="9" width="8" customWidth="1"/>
    <col min="10" max="10" width="10.54296875" customWidth="1"/>
    <col min="11" max="11" width="9.7265625" customWidth="1"/>
    <col min="12" max="12" width="9.26953125" customWidth="1"/>
    <col min="13" max="13" width="8.1796875" customWidth="1"/>
    <col min="14" max="14" width="9.26953125" customWidth="1"/>
    <col min="15" max="15" width="9" customWidth="1"/>
    <col min="16" max="16" width="8.54296875" customWidth="1"/>
    <col min="17" max="17" width="11.453125" customWidth="1"/>
    <col min="18" max="18" width="9.453125" customWidth="1"/>
    <col min="19" max="19" width="10" customWidth="1"/>
    <col min="20" max="20" width="12.54296875" customWidth="1"/>
  </cols>
  <sheetData>
    <row r="1" spans="1:21" s="10" customFormat="1" ht="30" customHeight="1">
      <c r="A1" s="3" t="s">
        <v>0</v>
      </c>
      <c r="B1" s="3" t="s">
        <v>1</v>
      </c>
      <c r="C1" s="3" t="s">
        <v>2</v>
      </c>
      <c r="D1" s="14" t="s">
        <v>74</v>
      </c>
      <c r="E1" s="3" t="s">
        <v>3</v>
      </c>
      <c r="F1" s="3" t="s">
        <v>4</v>
      </c>
      <c r="G1" s="4" t="s">
        <v>5</v>
      </c>
      <c r="H1" s="5" t="s">
        <v>6</v>
      </c>
      <c r="I1" s="6" t="s">
        <v>7</v>
      </c>
      <c r="J1" s="3" t="s">
        <v>19</v>
      </c>
      <c r="K1" s="7" t="s">
        <v>8</v>
      </c>
      <c r="L1" s="7" t="s">
        <v>9</v>
      </c>
      <c r="M1" s="7" t="s">
        <v>10</v>
      </c>
      <c r="N1" s="7" t="s">
        <v>11</v>
      </c>
      <c r="O1" s="8" t="s">
        <v>12</v>
      </c>
      <c r="P1" s="8" t="s">
        <v>13</v>
      </c>
      <c r="Q1" s="8" t="s">
        <v>14</v>
      </c>
      <c r="R1" s="9" t="s">
        <v>15</v>
      </c>
      <c r="S1" s="9" t="s">
        <v>16</v>
      </c>
      <c r="T1" s="9" t="s">
        <v>17</v>
      </c>
      <c r="U1" s="10" t="s">
        <v>50</v>
      </c>
    </row>
    <row r="2" spans="1:21" s="12" customFormat="1" ht="13" customHeight="1">
      <c r="A2" t="str">
        <f>Entry!B3</f>
        <v>599a</v>
      </c>
      <c r="B2" s="11" t="s">
        <v>18</v>
      </c>
      <c r="C2" s="18">
        <f>Entry!C3</f>
        <v>42422.200694444444</v>
      </c>
      <c r="D2" s="40">
        <f>Entry!D3</f>
        <v>0</v>
      </c>
      <c r="E2" s="41">
        <v>100</v>
      </c>
      <c r="F2" s="42">
        <v>10</v>
      </c>
      <c r="G2" s="45">
        <f>Entry!H3</f>
        <v>2.39</v>
      </c>
      <c r="H2" s="45">
        <f>Entry!I3</f>
        <v>1.45</v>
      </c>
      <c r="I2" s="41">
        <v>1</v>
      </c>
      <c r="J2" s="44">
        <f>Entry!$J$3</f>
        <v>1.9438</v>
      </c>
      <c r="K2" s="33">
        <f t="shared" ref="K2:K65" si="0">G2*(F2/E2)*I2</f>
        <v>0.23900000000000002</v>
      </c>
      <c r="L2" s="33">
        <f t="shared" ref="L2:L65" si="1">G2/H2</f>
        <v>1.6482758620689657</v>
      </c>
      <c r="M2" s="33"/>
      <c r="N2" s="34"/>
      <c r="O2" s="34">
        <f t="shared" ref="O2:O65" si="2">(G2-H2)*J2*(F2/E2)*I2</f>
        <v>0.18271720000000002</v>
      </c>
      <c r="P2" s="34">
        <f t="shared" ref="P2:P65" si="3">J2*(1.84*H2-G2)*(F2/E2)*I2</f>
        <v>5.4037640000000012E-2</v>
      </c>
      <c r="Q2" s="35">
        <f t="shared" ref="Q2:Q65" si="4">O2+P2</f>
        <v>0.23675484000000002</v>
      </c>
    </row>
    <row r="3" spans="1:21">
      <c r="A3" t="str">
        <f>Entry!B4</f>
        <v>599b</v>
      </c>
      <c r="B3" s="1" t="s">
        <v>18</v>
      </c>
      <c r="C3" s="18">
        <f>Entry!C4</f>
        <v>42422.200694444444</v>
      </c>
      <c r="D3" s="40">
        <f>Entry!D4</f>
        <v>0</v>
      </c>
      <c r="E3" s="32">
        <v>100</v>
      </c>
      <c r="F3" s="32">
        <v>10</v>
      </c>
      <c r="G3" s="45">
        <f>Entry!H4</f>
        <v>2.41</v>
      </c>
      <c r="H3" s="45">
        <f>Entry!I4</f>
        <v>1.44</v>
      </c>
      <c r="I3" s="43">
        <v>1</v>
      </c>
      <c r="J3" s="44">
        <f>Entry!$J$3</f>
        <v>1.9438</v>
      </c>
      <c r="K3" s="36">
        <f t="shared" si="0"/>
        <v>0.24100000000000002</v>
      </c>
      <c r="L3" s="36">
        <f t="shared" si="1"/>
        <v>1.6736111111111114</v>
      </c>
      <c r="M3" s="36"/>
      <c r="N3" s="36"/>
      <c r="O3" s="36">
        <f t="shared" si="2"/>
        <v>0.18854860000000007</v>
      </c>
      <c r="P3" s="36">
        <f t="shared" si="3"/>
        <v>4.6573447999999962E-2</v>
      </c>
      <c r="Q3" s="36">
        <f t="shared" si="4"/>
        <v>0.23512204800000003</v>
      </c>
      <c r="R3" s="36"/>
      <c r="S3" s="37"/>
    </row>
    <row r="4" spans="1:21">
      <c r="A4">
        <f>Entry!B5</f>
        <v>600</v>
      </c>
      <c r="B4" s="1" t="s">
        <v>18</v>
      </c>
      <c r="C4" s="18">
        <f>Entry!C5</f>
        <v>42422.200694444444</v>
      </c>
      <c r="D4" s="40">
        <f>Entry!D5</f>
        <v>0</v>
      </c>
      <c r="E4" s="32">
        <v>100</v>
      </c>
      <c r="F4" s="32">
        <v>10</v>
      </c>
      <c r="G4" s="45">
        <f>Entry!H5</f>
        <v>3.12</v>
      </c>
      <c r="H4" s="45">
        <f>Entry!I5</f>
        <v>1.86</v>
      </c>
      <c r="I4" s="43">
        <v>1</v>
      </c>
      <c r="J4" s="44">
        <f>Entry!$J$3</f>
        <v>1.9438</v>
      </c>
      <c r="K4" s="36">
        <f t="shared" si="0"/>
        <v>0.31200000000000006</v>
      </c>
      <c r="L4" s="36">
        <f t="shared" si="1"/>
        <v>1.6774193548387097</v>
      </c>
      <c r="M4" s="36">
        <f>(K2+K3+K4)/3</f>
        <v>0.26400000000000001</v>
      </c>
      <c r="N4" s="36">
        <f>(L2+L3+L4)/3</f>
        <v>1.6664354426729291</v>
      </c>
      <c r="O4" s="36">
        <f t="shared" si="2"/>
        <v>0.24491879999999999</v>
      </c>
      <c r="P4" s="36">
        <f t="shared" si="3"/>
        <v>5.8780512E-2</v>
      </c>
      <c r="Q4" s="36">
        <f t="shared" si="4"/>
        <v>0.303699312</v>
      </c>
      <c r="R4" s="36">
        <f>(O2+O3+O4)/3</f>
        <v>0.2053948666666667</v>
      </c>
      <c r="S4" s="37">
        <f>(P2+P3+P4)/3</f>
        <v>5.313053333333332E-2</v>
      </c>
      <c r="T4">
        <f>(Q2+Q3+Q4)/3</f>
        <v>0.25852540000000002</v>
      </c>
      <c r="U4">
        <f>STDEV(O2:O4)</f>
        <v>3.4352689648604162E-2</v>
      </c>
    </row>
    <row r="5" spans="1:21">
      <c r="A5" t="str">
        <f>Entry!B6</f>
        <v>601a</v>
      </c>
      <c r="B5" s="1" t="s">
        <v>18</v>
      </c>
      <c r="C5" s="18">
        <f>Entry!C6</f>
        <v>42422.200694444444</v>
      </c>
      <c r="D5" s="40">
        <f>Entry!D6</f>
        <v>0</v>
      </c>
      <c r="E5" s="32">
        <v>100</v>
      </c>
      <c r="F5" s="32">
        <v>10</v>
      </c>
      <c r="G5" s="45">
        <f>Entry!H6</f>
        <v>2.4700000000000002</v>
      </c>
      <c r="H5" s="45">
        <f>Entry!I6</f>
        <v>1.48</v>
      </c>
      <c r="I5" s="43">
        <v>1</v>
      </c>
      <c r="J5" s="44">
        <f>Entry!$J$3</f>
        <v>1.9438</v>
      </c>
      <c r="K5" s="36">
        <f t="shared" si="0"/>
        <v>0.24700000000000003</v>
      </c>
      <c r="L5" s="36">
        <f t="shared" si="1"/>
        <v>1.6689189189189191</v>
      </c>
      <c r="M5" s="36"/>
      <c r="N5" s="36"/>
      <c r="O5" s="36">
        <f t="shared" si="2"/>
        <v>0.19243620000000006</v>
      </c>
      <c r="P5" s="36">
        <f t="shared" si="3"/>
        <v>4.9217016000000023E-2</v>
      </c>
      <c r="Q5" s="36">
        <f t="shared" si="4"/>
        <v>0.24165321600000009</v>
      </c>
      <c r="R5" s="36"/>
      <c r="S5" s="37"/>
    </row>
    <row r="6" spans="1:21">
      <c r="A6" t="str">
        <f>Entry!B7</f>
        <v>601b</v>
      </c>
      <c r="B6" s="1" t="s">
        <v>18</v>
      </c>
      <c r="C6" s="18">
        <f>Entry!C7</f>
        <v>42422.200694444444</v>
      </c>
      <c r="D6" s="40">
        <f>Entry!D7</f>
        <v>0</v>
      </c>
      <c r="E6" s="32">
        <v>100</v>
      </c>
      <c r="F6" s="32">
        <v>10</v>
      </c>
      <c r="G6" s="45">
        <f>Entry!H7</f>
        <v>2.27</v>
      </c>
      <c r="H6" s="45">
        <f>Entry!I7</f>
        <v>1.4</v>
      </c>
      <c r="I6" s="43">
        <v>1</v>
      </c>
      <c r="J6" s="44">
        <f>Entry!$J$3</f>
        <v>1.9438</v>
      </c>
      <c r="K6" s="36">
        <f t="shared" si="0"/>
        <v>0.22700000000000001</v>
      </c>
      <c r="L6" s="36">
        <f t="shared" si="1"/>
        <v>1.6214285714285714</v>
      </c>
      <c r="M6" s="36"/>
      <c r="N6" s="36"/>
      <c r="O6" s="36">
        <f t="shared" si="2"/>
        <v>0.16911060000000003</v>
      </c>
      <c r="P6" s="36">
        <f t="shared" si="3"/>
        <v>5.948028000000001E-2</v>
      </c>
      <c r="Q6" s="36">
        <f t="shared" si="4"/>
        <v>0.22859088000000005</v>
      </c>
      <c r="R6" s="36"/>
      <c r="S6" s="37"/>
    </row>
    <row r="7" spans="1:21">
      <c r="A7">
        <f>Entry!B8</f>
        <v>602</v>
      </c>
      <c r="B7" s="1" t="s">
        <v>18</v>
      </c>
      <c r="C7" s="18">
        <f>Entry!C8</f>
        <v>42422.212500000001</v>
      </c>
      <c r="D7" s="40">
        <f>Entry!D8</f>
        <v>0</v>
      </c>
      <c r="E7" s="32">
        <v>100</v>
      </c>
      <c r="F7" s="32">
        <v>10</v>
      </c>
      <c r="G7" s="45">
        <f>Entry!H8</f>
        <v>8.01</v>
      </c>
      <c r="H7" s="45">
        <f>Entry!I8</f>
        <v>4.57</v>
      </c>
      <c r="I7" s="43">
        <v>1</v>
      </c>
      <c r="J7" s="44">
        <f>Entry!$J$3</f>
        <v>1.9438</v>
      </c>
      <c r="K7" s="36">
        <f t="shared" si="0"/>
        <v>0.80100000000000005</v>
      </c>
      <c r="L7" s="36">
        <f t="shared" si="1"/>
        <v>1.7527352297592995</v>
      </c>
      <c r="M7" s="36">
        <f t="shared" ref="M7:M70" si="5">(K5+K6+K7)/3</f>
        <v>0.42500000000000004</v>
      </c>
      <c r="N7" s="36">
        <f t="shared" ref="N7:N70" si="6">(L5+L6+L7)/3</f>
        <v>1.6810275733689302</v>
      </c>
      <c r="O7" s="36">
        <f t="shared" si="2"/>
        <v>0.66866719999999991</v>
      </c>
      <c r="P7" s="36">
        <f t="shared" si="3"/>
        <v>7.7518744000000264E-2</v>
      </c>
      <c r="Q7" s="36">
        <f t="shared" si="4"/>
        <v>0.74618594400000016</v>
      </c>
      <c r="R7" s="36">
        <f t="shared" ref="R7:R70" si="7">(O5+O6+O7)/3</f>
        <v>0.34340466666666664</v>
      </c>
      <c r="S7" s="37">
        <f t="shared" ref="S7:S70" si="8">(P5+P6+P7)/3</f>
        <v>6.2072013333333433E-2</v>
      </c>
      <c r="T7">
        <f t="shared" ref="T7:T70" si="9">(Q5+Q6+Q7)/3</f>
        <v>0.40547668000000009</v>
      </c>
      <c r="U7">
        <f t="shared" ref="U7:U70" si="10">STDEV(O5:O7)</f>
        <v>0.28192695436345433</v>
      </c>
    </row>
    <row r="8" spans="1:21">
      <c r="A8" t="str">
        <f>Entry!B9</f>
        <v>603a</v>
      </c>
      <c r="B8" s="1" t="s">
        <v>18</v>
      </c>
      <c r="C8" s="18">
        <f>Entry!C9</f>
        <v>42422.212500000001</v>
      </c>
      <c r="D8" s="40">
        <f>Entry!D9</f>
        <v>1.1805555557657499E-2</v>
      </c>
      <c r="E8" s="32">
        <v>100</v>
      </c>
      <c r="F8" s="32">
        <v>10</v>
      </c>
      <c r="G8" s="45">
        <f>Entry!H9</f>
        <v>2.38</v>
      </c>
      <c r="H8" s="45">
        <f>Entry!I9</f>
        <v>1.41</v>
      </c>
      <c r="I8" s="43">
        <v>1</v>
      </c>
      <c r="J8" s="44">
        <f>Entry!$J$3</f>
        <v>1.9438</v>
      </c>
      <c r="K8" s="36">
        <f t="shared" si="0"/>
        <v>0.23799999999999999</v>
      </c>
      <c r="L8" s="36">
        <f t="shared" si="1"/>
        <v>1.6879432624113475</v>
      </c>
      <c r="M8" s="36"/>
      <c r="N8" s="36"/>
      <c r="O8" s="36">
        <f t="shared" si="2"/>
        <v>0.18854860000000001</v>
      </c>
      <c r="P8" s="36">
        <f t="shared" si="3"/>
        <v>4.1675071999999987E-2</v>
      </c>
      <c r="Q8" s="36">
        <f t="shared" si="4"/>
        <v>0.23022367199999999</v>
      </c>
      <c r="R8" s="36"/>
      <c r="S8" s="37"/>
    </row>
    <row r="9" spans="1:21">
      <c r="A9" t="str">
        <f>Entry!B10</f>
        <v>603b</v>
      </c>
      <c r="B9" s="1" t="s">
        <v>18</v>
      </c>
      <c r="C9" s="18">
        <f>Entry!C10</f>
        <v>42422.212500000001</v>
      </c>
      <c r="D9" s="40">
        <f>Entry!D10</f>
        <v>1.1805555557657499E-2</v>
      </c>
      <c r="E9" s="32">
        <v>100</v>
      </c>
      <c r="F9" s="32">
        <v>10</v>
      </c>
      <c r="G9" s="45">
        <f>Entry!H10</f>
        <v>2.09</v>
      </c>
      <c r="H9" s="45">
        <f>Entry!I10</f>
        <v>1.32</v>
      </c>
      <c r="I9" s="43">
        <v>1</v>
      </c>
      <c r="J9" s="44">
        <f>Entry!$J$3</f>
        <v>1.9438</v>
      </c>
      <c r="K9" s="36">
        <f t="shared" si="0"/>
        <v>0.20899999999999999</v>
      </c>
      <c r="L9" s="36">
        <f t="shared" si="1"/>
        <v>1.5833333333333333</v>
      </c>
      <c r="M9" s="36"/>
      <c r="N9" s="36"/>
      <c r="O9" s="36">
        <f t="shared" si="2"/>
        <v>0.14967259999999996</v>
      </c>
      <c r="P9" s="36">
        <f t="shared" si="3"/>
        <v>6.5855944000000097E-2</v>
      </c>
      <c r="Q9" s="36">
        <f t="shared" si="4"/>
        <v>0.21552854400000004</v>
      </c>
      <c r="R9" s="36"/>
      <c r="S9" s="37"/>
    </row>
    <row r="10" spans="1:21">
      <c r="A10" t="str">
        <f>Entry!B11</f>
        <v>604a</v>
      </c>
      <c r="B10" s="1" t="s">
        <v>18</v>
      </c>
      <c r="C10" s="18">
        <f>Entry!C11</f>
        <v>42422.212500000001</v>
      </c>
      <c r="D10" s="40">
        <f>Entry!D11</f>
        <v>1.1805555557657499E-2</v>
      </c>
      <c r="E10" s="32">
        <v>100</v>
      </c>
      <c r="F10" s="32">
        <v>10</v>
      </c>
      <c r="G10" s="45">
        <f>Entry!H11</f>
        <v>2.14</v>
      </c>
      <c r="H10" s="45">
        <f>Entry!I11</f>
        <v>1.28</v>
      </c>
      <c r="I10" s="43">
        <v>1</v>
      </c>
      <c r="J10" s="44">
        <f>Entry!$J$3</f>
        <v>1.9438</v>
      </c>
      <c r="K10" s="36">
        <f t="shared" si="0"/>
        <v>0.21400000000000002</v>
      </c>
      <c r="L10" s="36">
        <f t="shared" si="1"/>
        <v>1.671875</v>
      </c>
      <c r="M10" s="36">
        <f t="shared" si="5"/>
        <v>0.22033333333333335</v>
      </c>
      <c r="N10" s="36">
        <f t="shared" si="6"/>
        <v>1.6477171985815602</v>
      </c>
      <c r="O10" s="36">
        <f t="shared" si="2"/>
        <v>0.16716680000000003</v>
      </c>
      <c r="P10" s="36">
        <f t="shared" si="3"/>
        <v>4.1830575999999974E-2</v>
      </c>
      <c r="Q10" s="36">
        <f t="shared" si="4"/>
        <v>0.20899737600000001</v>
      </c>
      <c r="R10" s="36">
        <f t="shared" si="7"/>
        <v>0.16846266666666668</v>
      </c>
      <c r="S10" s="37">
        <f t="shared" si="8"/>
        <v>4.9787197333333359E-2</v>
      </c>
      <c r="T10">
        <f t="shared" si="9"/>
        <v>0.21824986400000002</v>
      </c>
      <c r="U10">
        <f t="shared" si="10"/>
        <v>1.9470369714346316E-2</v>
      </c>
    </row>
    <row r="11" spans="1:21">
      <c r="A11" t="str">
        <f>Entry!B12</f>
        <v>604b</v>
      </c>
      <c r="B11" s="1" t="s">
        <v>18</v>
      </c>
      <c r="C11" s="18">
        <f>Entry!C12</f>
        <v>42422.212500000001</v>
      </c>
      <c r="D11" s="40">
        <f>Entry!D12</f>
        <v>1.1805555557657499E-2</v>
      </c>
      <c r="E11" s="32">
        <v>100</v>
      </c>
      <c r="F11" s="32">
        <v>10</v>
      </c>
      <c r="G11" s="45">
        <f>Entry!H12</f>
        <v>2.1800000000000002</v>
      </c>
      <c r="H11" s="45">
        <f>Entry!I12</f>
        <v>1.3</v>
      </c>
      <c r="I11" s="43">
        <v>1</v>
      </c>
      <c r="J11" s="44">
        <f>Entry!$J$3</f>
        <v>1.9438</v>
      </c>
      <c r="K11" s="36">
        <f t="shared" si="0"/>
        <v>0.21800000000000003</v>
      </c>
      <c r="L11" s="36">
        <f t="shared" si="1"/>
        <v>1.676923076923077</v>
      </c>
      <c r="M11" s="36"/>
      <c r="N11" s="36"/>
      <c r="O11" s="36">
        <f t="shared" si="2"/>
        <v>0.17105440000000005</v>
      </c>
      <c r="P11" s="36">
        <f t="shared" si="3"/>
        <v>4.120856000000004E-2</v>
      </c>
      <c r="Q11" s="36">
        <f t="shared" si="4"/>
        <v>0.21226296000000008</v>
      </c>
      <c r="R11" s="36"/>
      <c r="S11" s="37"/>
    </row>
    <row r="12" spans="1:21">
      <c r="A12">
        <f>Entry!B13</f>
        <v>663</v>
      </c>
      <c r="B12" s="1" t="s">
        <v>18</v>
      </c>
      <c r="C12" s="18">
        <f>Entry!C13</f>
        <v>42424.417361111111</v>
      </c>
      <c r="D12" s="40">
        <f>Entry!D13</f>
        <v>2.2166666666671517</v>
      </c>
      <c r="E12" s="32">
        <v>100</v>
      </c>
      <c r="F12" s="32">
        <v>10</v>
      </c>
      <c r="G12" s="45">
        <f>Entry!H13</f>
        <v>2.73</v>
      </c>
      <c r="H12" s="45">
        <f>Entry!I13</f>
        <v>1.6</v>
      </c>
      <c r="I12" s="43">
        <v>1</v>
      </c>
      <c r="J12" s="44">
        <f>Entry!$J$3</f>
        <v>1.9438</v>
      </c>
      <c r="K12" s="36">
        <f t="shared" si="0"/>
        <v>0.27300000000000002</v>
      </c>
      <c r="L12" s="36">
        <f t="shared" si="1"/>
        <v>1.7062499999999998</v>
      </c>
      <c r="M12" s="36"/>
      <c r="N12" s="36"/>
      <c r="O12" s="36">
        <f t="shared" si="2"/>
        <v>0.21964939999999999</v>
      </c>
      <c r="P12" s="36">
        <f t="shared" si="3"/>
        <v>4.1597320000000083E-2</v>
      </c>
      <c r="Q12" s="36">
        <f t="shared" si="4"/>
        <v>0.2612467200000001</v>
      </c>
      <c r="R12" s="36"/>
      <c r="S12" s="37"/>
    </row>
    <row r="13" spans="1:21">
      <c r="A13">
        <f>Entry!B14</f>
        <v>664</v>
      </c>
      <c r="B13" s="1" t="s">
        <v>18</v>
      </c>
      <c r="C13" s="18">
        <f>Entry!C14</f>
        <v>42424.417361111111</v>
      </c>
      <c r="D13" s="40">
        <f>Entry!D14</f>
        <v>2.2166666666671517</v>
      </c>
      <c r="E13" s="32">
        <v>100</v>
      </c>
      <c r="F13" s="32">
        <v>10</v>
      </c>
      <c r="G13" s="45">
        <f>Entry!H14</f>
        <v>2.27</v>
      </c>
      <c r="H13" s="45">
        <f>Entry!I14</f>
        <v>1.36</v>
      </c>
      <c r="I13" s="43">
        <v>1</v>
      </c>
      <c r="J13" s="44">
        <f>Entry!$J$3</f>
        <v>1.9438</v>
      </c>
      <c r="K13" s="36">
        <f t="shared" si="0"/>
        <v>0.22700000000000001</v>
      </c>
      <c r="L13" s="36">
        <f t="shared" si="1"/>
        <v>1.6691176470588234</v>
      </c>
      <c r="M13" s="36">
        <f t="shared" si="5"/>
        <v>0.23933333333333337</v>
      </c>
      <c r="N13" s="36">
        <f t="shared" si="6"/>
        <v>1.6840969079939667</v>
      </c>
      <c r="O13" s="36">
        <f t="shared" si="2"/>
        <v>0.17688579999999998</v>
      </c>
      <c r="P13" s="36">
        <f t="shared" si="3"/>
        <v>4.5173912000000038E-2</v>
      </c>
      <c r="Q13" s="36">
        <f t="shared" si="4"/>
        <v>0.22205971200000002</v>
      </c>
      <c r="R13" s="36">
        <f t="shared" si="7"/>
        <v>0.18919653333333333</v>
      </c>
      <c r="S13" s="37">
        <f t="shared" si="8"/>
        <v>4.2659930666666714E-2</v>
      </c>
      <c r="T13">
        <f t="shared" si="9"/>
        <v>0.23185646400000004</v>
      </c>
      <c r="U13">
        <f t="shared" si="10"/>
        <v>2.6533641337994379E-2</v>
      </c>
    </row>
    <row r="14" spans="1:21">
      <c r="A14">
        <f>Entry!B15</f>
        <v>665</v>
      </c>
      <c r="B14" s="1" t="s">
        <v>18</v>
      </c>
      <c r="C14" s="18">
        <f>Entry!C15</f>
        <v>42424.417361111111</v>
      </c>
      <c r="D14" s="40">
        <f>Entry!D15</f>
        <v>2.2166666666671517</v>
      </c>
      <c r="E14" s="32">
        <v>100</v>
      </c>
      <c r="F14" s="32">
        <v>10</v>
      </c>
      <c r="G14" s="45">
        <f>Entry!H15</f>
        <v>3.16</v>
      </c>
      <c r="H14" s="45">
        <f>Entry!I15</f>
        <v>1.86</v>
      </c>
      <c r="I14" s="43">
        <v>1</v>
      </c>
      <c r="J14" s="44">
        <f>Entry!$J$3</f>
        <v>1.9438</v>
      </c>
      <c r="K14" s="36">
        <f t="shared" si="0"/>
        <v>0.31600000000000006</v>
      </c>
      <c r="L14" s="36">
        <f t="shared" si="1"/>
        <v>1.6989247311827957</v>
      </c>
      <c r="M14" s="36"/>
      <c r="N14" s="36"/>
      <c r="O14" s="36">
        <f t="shared" si="2"/>
        <v>0.25269400000000003</v>
      </c>
      <c r="P14" s="36">
        <f t="shared" si="3"/>
        <v>5.1005311999999997E-2</v>
      </c>
      <c r="Q14" s="36">
        <f t="shared" si="4"/>
        <v>0.303699312</v>
      </c>
      <c r="R14" s="36"/>
      <c r="S14" s="37"/>
    </row>
    <row r="15" spans="1:21" ht="13" customHeight="1">
      <c r="A15">
        <f>Entry!B16</f>
        <v>666</v>
      </c>
      <c r="B15" s="1" t="s">
        <v>18</v>
      </c>
      <c r="C15" s="18">
        <f>Entry!C16</f>
        <v>42424.427083333336</v>
      </c>
      <c r="D15" s="40">
        <f>Entry!D16</f>
        <v>2.226388888891961</v>
      </c>
      <c r="E15" s="32">
        <v>100</v>
      </c>
      <c r="F15" s="32">
        <v>10</v>
      </c>
      <c r="G15" s="45">
        <f>Entry!H16</f>
        <v>4.5200000000000005</v>
      </c>
      <c r="H15" s="45">
        <f>Entry!I16</f>
        <v>2.7</v>
      </c>
      <c r="I15" s="43">
        <v>1</v>
      </c>
      <c r="J15" s="44">
        <f>Entry!$J$3</f>
        <v>1.9438</v>
      </c>
      <c r="K15" s="36">
        <f t="shared" si="0"/>
        <v>0.45200000000000007</v>
      </c>
      <c r="L15" s="36">
        <f t="shared" si="1"/>
        <v>1.674074074074074</v>
      </c>
      <c r="M15" s="36"/>
      <c r="N15" s="36"/>
      <c r="O15" s="36">
        <f t="shared" si="2"/>
        <v>0.35377160000000007</v>
      </c>
      <c r="P15" s="36">
        <f t="shared" si="3"/>
        <v>8.7082240000000088E-2</v>
      </c>
      <c r="Q15" s="36">
        <f t="shared" si="4"/>
        <v>0.44085384000000016</v>
      </c>
      <c r="R15" s="36"/>
      <c r="S15" s="37"/>
    </row>
    <row r="16" spans="1:21">
      <c r="A16">
        <f>Entry!B17</f>
        <v>667</v>
      </c>
      <c r="B16" s="1" t="s">
        <v>18</v>
      </c>
      <c r="C16" s="18">
        <f>Entry!C17</f>
        <v>42424.427083333336</v>
      </c>
      <c r="D16" s="40">
        <f>Entry!D17</f>
        <v>2.226388888891961</v>
      </c>
      <c r="E16" s="32">
        <v>100</v>
      </c>
      <c r="F16" s="32">
        <v>10</v>
      </c>
      <c r="G16" s="45">
        <f>Entry!H17</f>
        <v>6.04</v>
      </c>
      <c r="H16" s="45">
        <f>Entry!I17</f>
        <v>3.6300000000000003</v>
      </c>
      <c r="I16" s="43">
        <v>1</v>
      </c>
      <c r="J16" s="44">
        <f>Entry!$J$3</f>
        <v>1.9438</v>
      </c>
      <c r="K16" s="36">
        <f t="shared" si="0"/>
        <v>0.60400000000000009</v>
      </c>
      <c r="L16" s="36">
        <f t="shared" si="1"/>
        <v>1.6639118457300275</v>
      </c>
      <c r="M16" s="36">
        <f t="shared" si="5"/>
        <v>0.45733333333333342</v>
      </c>
      <c r="N16" s="36">
        <f t="shared" si="6"/>
        <v>1.6789702169956324</v>
      </c>
      <c r="O16" s="36">
        <f t="shared" si="2"/>
        <v>0.46845579999999992</v>
      </c>
      <c r="P16" s="36">
        <f t="shared" si="3"/>
        <v>0.12424769600000013</v>
      </c>
      <c r="Q16" s="36">
        <f t="shared" si="4"/>
        <v>0.59270349600000005</v>
      </c>
      <c r="R16" s="36">
        <f t="shared" si="7"/>
        <v>0.35830713333333336</v>
      </c>
      <c r="S16" s="37">
        <f t="shared" si="8"/>
        <v>8.7445082666666729E-2</v>
      </c>
      <c r="T16">
        <f t="shared" si="9"/>
        <v>0.44575221600000009</v>
      </c>
      <c r="U16">
        <f t="shared" si="10"/>
        <v>0.10795238247381714</v>
      </c>
    </row>
    <row r="17" spans="1:21">
      <c r="A17">
        <f>Entry!B18</f>
        <v>668</v>
      </c>
      <c r="B17" s="1" t="s">
        <v>18</v>
      </c>
      <c r="C17" s="18">
        <f>Entry!C18</f>
        <v>42424.427083333336</v>
      </c>
      <c r="D17" s="40">
        <f>Entry!D18</f>
        <v>2.226388888891961</v>
      </c>
      <c r="E17" s="32">
        <v>100</v>
      </c>
      <c r="F17" s="32">
        <v>10</v>
      </c>
      <c r="G17" s="45">
        <f>Entry!H18</f>
        <v>5.23</v>
      </c>
      <c r="H17" s="45">
        <f>Entry!I18</f>
        <v>3.04</v>
      </c>
      <c r="I17" s="43">
        <v>1</v>
      </c>
      <c r="J17" s="44">
        <f>Entry!$J$3</f>
        <v>1.9438</v>
      </c>
      <c r="K17" s="36">
        <f t="shared" si="0"/>
        <v>0.52300000000000002</v>
      </c>
      <c r="L17" s="36">
        <f t="shared" si="1"/>
        <v>1.7203947368421053</v>
      </c>
      <c r="M17" s="36"/>
      <c r="N17" s="36"/>
      <c r="O17" s="36">
        <f t="shared" si="2"/>
        <v>0.42569220000000008</v>
      </c>
      <c r="P17" s="36">
        <f t="shared" si="3"/>
        <v>7.0676567999999981E-2</v>
      </c>
      <c r="Q17" s="36">
        <f t="shared" si="4"/>
        <v>0.49636876800000007</v>
      </c>
      <c r="R17" s="36"/>
      <c r="S17" s="37"/>
    </row>
    <row r="18" spans="1:21">
      <c r="A18">
        <f>Entry!B19</f>
        <v>669</v>
      </c>
      <c r="B18" s="1" t="s">
        <v>18</v>
      </c>
      <c r="C18" s="18">
        <f>Entry!C19</f>
        <v>42424.438888888886</v>
      </c>
      <c r="D18" s="40">
        <f>Entry!D19</f>
        <v>2.2381944444423425</v>
      </c>
      <c r="E18" s="32">
        <v>100</v>
      </c>
      <c r="F18" s="32">
        <v>10</v>
      </c>
      <c r="G18" s="45">
        <f>Entry!H19</f>
        <v>3.73</v>
      </c>
      <c r="H18" s="45">
        <f>Entry!I19</f>
        <v>2.1800000000000002</v>
      </c>
      <c r="I18" s="43">
        <v>1</v>
      </c>
      <c r="J18" s="44">
        <f>Entry!$J$3</f>
        <v>1.9438</v>
      </c>
      <c r="K18" s="36">
        <f t="shared" si="0"/>
        <v>0.373</v>
      </c>
      <c r="L18" s="36">
        <f t="shared" si="1"/>
        <v>1.7110091743119265</v>
      </c>
      <c r="M18" s="36"/>
      <c r="N18" s="36"/>
      <c r="O18" s="36">
        <f t="shared" si="2"/>
        <v>0.30128899999999997</v>
      </c>
      <c r="P18" s="36">
        <f t="shared" si="3"/>
        <v>5.4659656000000112E-2</v>
      </c>
      <c r="Q18" s="36">
        <f t="shared" si="4"/>
        <v>0.35594865600000009</v>
      </c>
      <c r="R18" s="36"/>
      <c r="S18" s="37"/>
    </row>
    <row r="19" spans="1:21">
      <c r="A19">
        <f>Entry!B20</f>
        <v>670</v>
      </c>
      <c r="B19" s="1" t="s">
        <v>18</v>
      </c>
      <c r="C19" s="18">
        <f>Entry!C20</f>
        <v>42424.438888888886</v>
      </c>
      <c r="D19" s="40">
        <f>Entry!D20</f>
        <v>2.2381944444423425</v>
      </c>
      <c r="E19" s="32">
        <v>100</v>
      </c>
      <c r="F19" s="32">
        <v>10</v>
      </c>
      <c r="G19" s="45">
        <f>Entry!H20</f>
        <v>4</v>
      </c>
      <c r="H19" s="45">
        <f>Entry!I20</f>
        <v>2.33</v>
      </c>
      <c r="I19" s="43">
        <v>1</v>
      </c>
      <c r="J19" s="44">
        <f>Entry!$J$3</f>
        <v>1.9438</v>
      </c>
      <c r="K19" s="36">
        <f t="shared" si="0"/>
        <v>0.4</v>
      </c>
      <c r="L19" s="36">
        <f t="shared" si="1"/>
        <v>1.7167381974248928</v>
      </c>
      <c r="M19" s="36">
        <f t="shared" si="5"/>
        <v>0.432</v>
      </c>
      <c r="N19" s="36">
        <f t="shared" si="6"/>
        <v>1.7160473695263081</v>
      </c>
      <c r="O19" s="36">
        <f t="shared" si="2"/>
        <v>0.32461460000000003</v>
      </c>
      <c r="P19" s="36">
        <f t="shared" si="3"/>
        <v>5.5825936000000069E-2</v>
      </c>
      <c r="Q19" s="36">
        <f t="shared" si="4"/>
        <v>0.38044053600000011</v>
      </c>
      <c r="R19" s="36">
        <f t="shared" si="7"/>
        <v>0.35053193333333338</v>
      </c>
      <c r="S19" s="37">
        <f t="shared" si="8"/>
        <v>6.038738666666673E-2</v>
      </c>
      <c r="T19">
        <f t="shared" si="9"/>
        <v>0.41091932000000009</v>
      </c>
      <c r="U19">
        <f t="shared" si="10"/>
        <v>6.612730274170675E-2</v>
      </c>
    </row>
    <row r="20" spans="1:21">
      <c r="A20">
        <f>Entry!B21</f>
        <v>671</v>
      </c>
      <c r="B20" s="1" t="s">
        <v>18</v>
      </c>
      <c r="C20" s="18">
        <f>Entry!C21</f>
        <v>42424.438888888886</v>
      </c>
      <c r="D20" s="40">
        <f>Entry!D21</f>
        <v>2.2381944444423425</v>
      </c>
      <c r="E20" s="32">
        <v>100</v>
      </c>
      <c r="F20" s="32">
        <v>10</v>
      </c>
      <c r="G20" s="45">
        <f>Entry!H21</f>
        <v>1.88</v>
      </c>
      <c r="H20" s="45">
        <f>Entry!I21</f>
        <v>1.1200000000000001</v>
      </c>
      <c r="I20" s="43">
        <v>1</v>
      </c>
      <c r="J20" s="44">
        <f>Entry!$J$3</f>
        <v>1.9438</v>
      </c>
      <c r="K20" s="36">
        <f t="shared" si="0"/>
        <v>0.188</v>
      </c>
      <c r="L20" s="36">
        <f t="shared" si="1"/>
        <v>1.6785714285714284</v>
      </c>
      <c r="M20" s="36"/>
      <c r="N20" s="36"/>
      <c r="O20" s="36">
        <f t="shared" si="2"/>
        <v>0.14772879999999997</v>
      </c>
      <c r="P20" s="36">
        <f t="shared" si="3"/>
        <v>3.5143904000000101E-2</v>
      </c>
      <c r="Q20" s="36">
        <f t="shared" si="4"/>
        <v>0.18287270400000005</v>
      </c>
      <c r="R20" s="36"/>
      <c r="S20" s="37"/>
    </row>
    <row r="21" spans="1:21">
      <c r="A21">
        <f>Entry!B22</f>
        <v>672</v>
      </c>
      <c r="B21" s="1" t="s">
        <v>18</v>
      </c>
      <c r="C21" s="18">
        <f>Entry!C22</f>
        <v>42424.456944444442</v>
      </c>
      <c r="D21" s="40">
        <f>Entry!D22</f>
        <v>2.2562499999985448</v>
      </c>
      <c r="E21" s="32">
        <v>100</v>
      </c>
      <c r="F21" s="32">
        <v>10</v>
      </c>
      <c r="G21" s="45">
        <f>Entry!H22</f>
        <v>1.93</v>
      </c>
      <c r="H21" s="45">
        <f>Entry!I22</f>
        <v>1.1399999999999999</v>
      </c>
      <c r="I21" s="43">
        <v>1</v>
      </c>
      <c r="J21" s="44">
        <f>Entry!$J$3</f>
        <v>1.9438</v>
      </c>
      <c r="K21" s="36">
        <f t="shared" si="0"/>
        <v>0.193</v>
      </c>
      <c r="L21" s="36">
        <f t="shared" si="1"/>
        <v>1.692982456140351</v>
      </c>
      <c r="M21" s="36"/>
      <c r="N21" s="36"/>
      <c r="O21" s="36">
        <f t="shared" si="2"/>
        <v>0.15356020000000004</v>
      </c>
      <c r="P21" s="36">
        <f t="shared" si="3"/>
        <v>3.2578087999999998E-2</v>
      </c>
      <c r="Q21" s="36">
        <f t="shared" si="4"/>
        <v>0.18613828800000004</v>
      </c>
      <c r="R21" s="36"/>
      <c r="S21" s="37"/>
    </row>
    <row r="22" spans="1:21">
      <c r="A22">
        <f>Entry!B23</f>
        <v>673</v>
      </c>
      <c r="B22" s="1" t="s">
        <v>18</v>
      </c>
      <c r="C22" s="18">
        <f>Entry!C23</f>
        <v>42424.456944444442</v>
      </c>
      <c r="D22" s="40">
        <f>Entry!D23</f>
        <v>2.2562499999985448</v>
      </c>
      <c r="E22" s="32">
        <v>100</v>
      </c>
      <c r="F22" s="32">
        <v>10</v>
      </c>
      <c r="G22" s="45">
        <f>Entry!H23</f>
        <v>1.53</v>
      </c>
      <c r="H22" s="45">
        <f>Entry!I23</f>
        <v>0.88800000000000001</v>
      </c>
      <c r="I22" s="43">
        <v>1</v>
      </c>
      <c r="J22" s="44">
        <f>Entry!$J$3</f>
        <v>1.9438</v>
      </c>
      <c r="K22" s="36">
        <f t="shared" si="0"/>
        <v>0.15300000000000002</v>
      </c>
      <c r="L22" s="36">
        <f t="shared" si="1"/>
        <v>1.722972972972973</v>
      </c>
      <c r="M22" s="36">
        <f t="shared" si="5"/>
        <v>0.17800000000000002</v>
      </c>
      <c r="N22" s="36">
        <f t="shared" si="6"/>
        <v>1.6981756192282509</v>
      </c>
      <c r="O22" s="36">
        <f t="shared" si="2"/>
        <v>0.12479195999999999</v>
      </c>
      <c r="P22" s="36">
        <f t="shared" si="3"/>
        <v>2.0199969600000006E-2</v>
      </c>
      <c r="Q22" s="36">
        <f t="shared" si="4"/>
        <v>0.14499192960000001</v>
      </c>
      <c r="R22" s="36">
        <f t="shared" si="7"/>
        <v>0.14202698666666666</v>
      </c>
      <c r="S22" s="37">
        <f t="shared" si="8"/>
        <v>2.9307320533333365E-2</v>
      </c>
      <c r="T22">
        <f t="shared" si="9"/>
        <v>0.17133430720000006</v>
      </c>
      <c r="U22">
        <f t="shared" si="10"/>
        <v>1.5208087146006681E-2</v>
      </c>
    </row>
    <row r="23" spans="1:21">
      <c r="A23">
        <f>Entry!B24</f>
        <v>674</v>
      </c>
      <c r="B23" s="1" t="s">
        <v>18</v>
      </c>
      <c r="C23" s="18">
        <f>Entry!C24</f>
        <v>42424.456944444442</v>
      </c>
      <c r="D23" s="40">
        <f>Entry!D24</f>
        <v>2.2562499999985448</v>
      </c>
      <c r="E23" s="32">
        <v>100</v>
      </c>
      <c r="F23" s="32">
        <v>10</v>
      </c>
      <c r="G23" s="45">
        <f>Entry!H24</f>
        <v>1.54</v>
      </c>
      <c r="H23" s="45">
        <f>Entry!I24</f>
        <v>0.90400000000000003</v>
      </c>
      <c r="I23" s="43">
        <v>1</v>
      </c>
      <c r="J23" s="44">
        <f>Entry!$J$3</f>
        <v>1.9438</v>
      </c>
      <c r="K23" s="36">
        <f t="shared" si="0"/>
        <v>0.15400000000000003</v>
      </c>
      <c r="L23" s="36">
        <f t="shared" si="1"/>
        <v>1.7035398230088497</v>
      </c>
      <c r="M23" s="36"/>
      <c r="N23" s="36"/>
      <c r="O23" s="36">
        <f t="shared" si="2"/>
        <v>0.12362568000000002</v>
      </c>
      <c r="P23" s="36">
        <f t="shared" si="3"/>
        <v>2.3978716800000029E-2</v>
      </c>
      <c r="Q23" s="36">
        <f t="shared" si="4"/>
        <v>0.14760439680000004</v>
      </c>
      <c r="R23" s="36"/>
      <c r="S23" s="37"/>
    </row>
    <row r="24" spans="1:21" ht="13" customHeight="1">
      <c r="A24">
        <f>Entry!B25</f>
        <v>675</v>
      </c>
      <c r="B24" s="1" t="s">
        <v>18</v>
      </c>
      <c r="C24" s="18">
        <f>Entry!C25</f>
        <v>42424.470138888886</v>
      </c>
      <c r="D24" s="40">
        <f>Entry!D25</f>
        <v>2.2694444444423425</v>
      </c>
      <c r="E24" s="32">
        <v>100</v>
      </c>
      <c r="F24" s="32">
        <v>10</v>
      </c>
      <c r="G24" s="45">
        <f>Entry!H25</f>
        <v>2.06</v>
      </c>
      <c r="H24" s="45">
        <f>Entry!I25</f>
        <v>1.1599999999999999</v>
      </c>
      <c r="I24" s="43">
        <v>1</v>
      </c>
      <c r="J24" s="44">
        <f>Entry!$J$3</f>
        <v>1.9438</v>
      </c>
      <c r="K24" s="36">
        <f t="shared" si="0"/>
        <v>0.20600000000000002</v>
      </c>
      <c r="L24" s="36">
        <f t="shared" si="1"/>
        <v>1.7758620689655173</v>
      </c>
      <c r="M24" s="36"/>
      <c r="N24" s="36"/>
      <c r="O24" s="36">
        <f t="shared" si="2"/>
        <v>0.17494200000000004</v>
      </c>
      <c r="P24" s="36">
        <f t="shared" si="3"/>
        <v>1.4461871999999962E-2</v>
      </c>
      <c r="Q24" s="36">
        <f t="shared" si="4"/>
        <v>0.189403872</v>
      </c>
      <c r="R24" s="36"/>
      <c r="S24" s="37"/>
    </row>
    <row r="25" spans="1:21">
      <c r="A25">
        <f>Entry!B26</f>
        <v>676</v>
      </c>
      <c r="B25" s="1" t="s">
        <v>18</v>
      </c>
      <c r="C25" s="18">
        <f>Entry!C26</f>
        <v>42424.470138888886</v>
      </c>
      <c r="D25" s="40">
        <f>Entry!D26</f>
        <v>2.2694444444423425</v>
      </c>
      <c r="E25" s="32">
        <v>100</v>
      </c>
      <c r="F25" s="32">
        <v>10</v>
      </c>
      <c r="G25" s="45">
        <f>Entry!H26</f>
        <v>1.65</v>
      </c>
      <c r="H25" s="45">
        <f>Entry!I26</f>
        <v>0.97</v>
      </c>
      <c r="I25" s="43">
        <v>1</v>
      </c>
      <c r="J25" s="44">
        <f>Entry!$J$3</f>
        <v>1.9438</v>
      </c>
      <c r="K25" s="36">
        <f t="shared" si="0"/>
        <v>0.16500000000000001</v>
      </c>
      <c r="L25" s="36">
        <f t="shared" si="1"/>
        <v>1.7010309278350515</v>
      </c>
      <c r="M25" s="36">
        <f t="shared" si="5"/>
        <v>0.17500000000000002</v>
      </c>
      <c r="N25" s="36">
        <f t="shared" si="6"/>
        <v>1.7268109399364728</v>
      </c>
      <c r="O25" s="36">
        <f t="shared" si="2"/>
        <v>0.1321784</v>
      </c>
      <c r="P25" s="36">
        <f t="shared" si="3"/>
        <v>2.6202424000000009E-2</v>
      </c>
      <c r="Q25" s="36">
        <f t="shared" si="4"/>
        <v>0.158380824</v>
      </c>
      <c r="R25" s="36">
        <f t="shared" si="7"/>
        <v>0.14358202666666667</v>
      </c>
      <c r="S25" s="37">
        <f t="shared" si="8"/>
        <v>2.1547670933333336E-2</v>
      </c>
      <c r="T25">
        <f t="shared" si="9"/>
        <v>0.16512969759999999</v>
      </c>
      <c r="U25">
        <f t="shared" si="10"/>
        <v>2.7493148245519943E-2</v>
      </c>
    </row>
    <row r="26" spans="1:21">
      <c r="A26">
        <f>Entry!B27</f>
        <v>677</v>
      </c>
      <c r="B26" s="1" t="s">
        <v>18</v>
      </c>
      <c r="C26" s="18">
        <f>Entry!C27</f>
        <v>42424.470138888886</v>
      </c>
      <c r="D26" s="40">
        <f>Entry!D27</f>
        <v>2.2694444444423425</v>
      </c>
      <c r="E26" s="32">
        <v>100</v>
      </c>
      <c r="F26" s="32">
        <v>10</v>
      </c>
      <c r="G26" s="45">
        <f>Entry!H27</f>
        <v>1.48</v>
      </c>
      <c r="H26" s="45">
        <f>Entry!I27</f>
        <v>0.89200000000000002</v>
      </c>
      <c r="I26" s="43">
        <v>1</v>
      </c>
      <c r="J26" s="44">
        <f>Entry!$J$3</f>
        <v>1.9438</v>
      </c>
      <c r="K26" s="36">
        <f t="shared" si="0"/>
        <v>0.14799999999999999</v>
      </c>
      <c r="L26" s="36">
        <f t="shared" si="1"/>
        <v>1.6591928251121075</v>
      </c>
      <c r="M26" s="36"/>
      <c r="N26" s="36"/>
      <c r="O26" s="36">
        <f t="shared" si="2"/>
        <v>0.11429543999999998</v>
      </c>
      <c r="P26" s="36">
        <f t="shared" si="3"/>
        <v>3.1349606400000021E-2</v>
      </c>
      <c r="Q26" s="36">
        <f t="shared" si="4"/>
        <v>0.14564504640000001</v>
      </c>
      <c r="R26" s="36"/>
      <c r="S26" s="37"/>
    </row>
    <row r="27" spans="1:21">
      <c r="A27">
        <f>Entry!B28</f>
        <v>678</v>
      </c>
      <c r="B27" s="1" t="s">
        <v>18</v>
      </c>
      <c r="C27" s="18">
        <f>Entry!C28</f>
        <v>42424.484722222223</v>
      </c>
      <c r="D27" s="40">
        <f>Entry!D28</f>
        <v>2.2840277777795563</v>
      </c>
      <c r="E27" s="32">
        <v>100</v>
      </c>
      <c r="F27" s="32">
        <v>10</v>
      </c>
      <c r="G27" s="45">
        <f>Entry!H28</f>
        <v>1.56</v>
      </c>
      <c r="H27" s="45">
        <f>Entry!I28</f>
        <v>0.93100000000000005</v>
      </c>
      <c r="I27" s="43">
        <v>1</v>
      </c>
      <c r="J27" s="44">
        <f>Entry!$J$3</f>
        <v>1.9438</v>
      </c>
      <c r="K27" s="36">
        <f t="shared" si="0"/>
        <v>0.15600000000000003</v>
      </c>
      <c r="L27" s="36">
        <f t="shared" si="1"/>
        <v>1.6756176154672395</v>
      </c>
      <c r="M27" s="36"/>
      <c r="N27" s="36"/>
      <c r="O27" s="36">
        <f t="shared" si="2"/>
        <v>0.12226502</v>
      </c>
      <c r="P27" s="36">
        <f t="shared" si="3"/>
        <v>2.9747915200000016E-2</v>
      </c>
      <c r="Q27" s="36">
        <f t="shared" si="4"/>
        <v>0.15201293520000003</v>
      </c>
      <c r="R27" s="36"/>
      <c r="S27" s="37"/>
    </row>
    <row r="28" spans="1:21">
      <c r="A28">
        <f>Entry!B29</f>
        <v>679</v>
      </c>
      <c r="B28" s="1" t="s">
        <v>18</v>
      </c>
      <c r="C28" s="18">
        <f>Entry!C29</f>
        <v>42424.484722222223</v>
      </c>
      <c r="D28" s="40">
        <f>Entry!D29</f>
        <v>2.2840277777795563</v>
      </c>
      <c r="E28" s="32">
        <v>100</v>
      </c>
      <c r="F28" s="32">
        <v>10</v>
      </c>
      <c r="G28" s="45">
        <f>Entry!H29</f>
        <v>1.36</v>
      </c>
      <c r="H28" s="45">
        <f>Entry!I29</f>
        <v>0.81699999999999995</v>
      </c>
      <c r="I28" s="43">
        <v>1</v>
      </c>
      <c r="J28" s="44">
        <f>Entry!$J$3</f>
        <v>1.9438</v>
      </c>
      <c r="K28" s="36">
        <f t="shared" si="0"/>
        <v>0.13600000000000001</v>
      </c>
      <c r="L28" s="36">
        <f t="shared" si="1"/>
        <v>1.6646266829865364</v>
      </c>
      <c r="M28" s="36">
        <f t="shared" si="5"/>
        <v>0.1466666666666667</v>
      </c>
      <c r="N28" s="36">
        <f t="shared" si="6"/>
        <v>1.6664790411886277</v>
      </c>
      <c r="O28" s="36">
        <f t="shared" si="2"/>
        <v>0.10554834000000002</v>
      </c>
      <c r="P28" s="36">
        <f t="shared" si="3"/>
        <v>2.7850766399999973E-2</v>
      </c>
      <c r="Q28" s="36">
        <f t="shared" si="4"/>
        <v>0.13339910639999999</v>
      </c>
      <c r="R28" s="36">
        <f t="shared" si="7"/>
        <v>0.11403626666666666</v>
      </c>
      <c r="S28" s="37">
        <f t="shared" si="8"/>
        <v>2.9649429333333338E-2</v>
      </c>
      <c r="T28">
        <f t="shared" si="9"/>
        <v>0.143685696</v>
      </c>
      <c r="U28">
        <f t="shared" si="10"/>
        <v>8.3613531003141582E-3</v>
      </c>
    </row>
    <row r="29" spans="1:21">
      <c r="A29">
        <f>Entry!B30</f>
        <v>680</v>
      </c>
      <c r="B29" s="1" t="s">
        <v>18</v>
      </c>
      <c r="C29" s="18">
        <f>Entry!C30</f>
        <v>42424.484722222223</v>
      </c>
      <c r="D29" s="40">
        <f>Entry!D30</f>
        <v>2.2840277777795563</v>
      </c>
      <c r="E29" s="32">
        <v>100</v>
      </c>
      <c r="F29" s="32">
        <v>10</v>
      </c>
      <c r="G29" s="45">
        <f>Entry!H30</f>
        <v>1.44</v>
      </c>
      <c r="H29" s="45">
        <f>Entry!I30</f>
        <v>0.85799999999999998</v>
      </c>
      <c r="I29" s="43">
        <v>1</v>
      </c>
      <c r="J29" s="44">
        <f>Entry!$J$3</f>
        <v>1.9438</v>
      </c>
      <c r="K29" s="36">
        <f t="shared" si="0"/>
        <v>0.14399999999999999</v>
      </c>
      <c r="L29" s="36">
        <f t="shared" si="1"/>
        <v>1.6783216783216783</v>
      </c>
      <c r="M29" s="36"/>
      <c r="N29" s="36"/>
      <c r="O29" s="36">
        <f t="shared" si="2"/>
        <v>0.11312916000000001</v>
      </c>
      <c r="P29" s="36">
        <f t="shared" si="3"/>
        <v>2.6964393600000039E-2</v>
      </c>
      <c r="Q29" s="36">
        <f t="shared" si="4"/>
        <v>0.14009355360000003</v>
      </c>
      <c r="R29" s="36"/>
      <c r="S29" s="37"/>
    </row>
    <row r="30" spans="1:21">
      <c r="A30">
        <f>Entry!B31</f>
        <v>702</v>
      </c>
      <c r="B30" s="1" t="s">
        <v>18</v>
      </c>
      <c r="C30" s="18">
        <f>Entry!C31</f>
        <v>42425.340277777781</v>
      </c>
      <c r="D30" s="40">
        <f>Entry!D31</f>
        <v>3.1395833333372138</v>
      </c>
      <c r="E30" s="32">
        <v>100</v>
      </c>
      <c r="F30" s="32">
        <v>10</v>
      </c>
      <c r="G30" s="45">
        <f>Entry!H31</f>
        <v>2.67</v>
      </c>
      <c r="H30" s="45">
        <f>Entry!I31</f>
        <v>1.65</v>
      </c>
      <c r="I30" s="43">
        <v>1</v>
      </c>
      <c r="J30" s="44">
        <f>Entry!$J$3</f>
        <v>1.9438</v>
      </c>
      <c r="K30" s="36">
        <f t="shared" si="0"/>
        <v>0.26700000000000002</v>
      </c>
      <c r="L30" s="36">
        <f t="shared" si="1"/>
        <v>1.6181818181818182</v>
      </c>
      <c r="M30" s="36"/>
      <c r="N30" s="36"/>
      <c r="O30" s="36">
        <f t="shared" si="2"/>
        <v>0.19826760000000002</v>
      </c>
      <c r="P30" s="36">
        <f t="shared" si="3"/>
        <v>7.1143080000000011E-2</v>
      </c>
      <c r="Q30" s="36">
        <f t="shared" si="4"/>
        <v>0.26941068000000001</v>
      </c>
      <c r="R30" s="36"/>
      <c r="S30" s="37"/>
    </row>
    <row r="31" spans="1:21">
      <c r="A31">
        <f>Entry!B32</f>
        <v>703</v>
      </c>
      <c r="B31" s="1" t="s">
        <v>18</v>
      </c>
      <c r="C31" s="18">
        <f>Entry!C32</f>
        <v>42425.340277777781</v>
      </c>
      <c r="D31" s="40">
        <f>Entry!D32</f>
        <v>3.1395833333372138</v>
      </c>
      <c r="E31" s="32">
        <v>100</v>
      </c>
      <c r="F31" s="32">
        <v>10</v>
      </c>
      <c r="G31" s="45">
        <f>Entry!H32</f>
        <v>2.25</v>
      </c>
      <c r="H31" s="45">
        <f>Entry!I32</f>
        <v>1.34</v>
      </c>
      <c r="I31" s="43">
        <v>1</v>
      </c>
      <c r="J31" s="44">
        <f>Entry!$J$3</f>
        <v>1.9438</v>
      </c>
      <c r="K31" s="36">
        <f t="shared" si="0"/>
        <v>0.22500000000000001</v>
      </c>
      <c r="L31" s="36">
        <f t="shared" si="1"/>
        <v>1.6791044776119401</v>
      </c>
      <c r="M31" s="36">
        <f t="shared" si="5"/>
        <v>0.21199999999999999</v>
      </c>
      <c r="N31" s="36">
        <f t="shared" si="6"/>
        <v>1.6585359913718121</v>
      </c>
      <c r="O31" s="36">
        <f t="shared" si="2"/>
        <v>0.17688579999999998</v>
      </c>
      <c r="P31" s="36">
        <f t="shared" si="3"/>
        <v>4.190832800000005E-2</v>
      </c>
      <c r="Q31" s="36">
        <f t="shared" si="4"/>
        <v>0.21879412800000003</v>
      </c>
      <c r="R31" s="36">
        <f t="shared" si="7"/>
        <v>0.16276085333333334</v>
      </c>
      <c r="S31" s="37">
        <f t="shared" si="8"/>
        <v>4.6671933866666702E-2</v>
      </c>
      <c r="T31">
        <f t="shared" si="9"/>
        <v>0.20943278720000003</v>
      </c>
      <c r="U31">
        <f t="shared" si="10"/>
        <v>4.4291918903571148E-2</v>
      </c>
    </row>
    <row r="32" spans="1:21">
      <c r="A32">
        <f>Entry!B33</f>
        <v>704</v>
      </c>
      <c r="B32" s="1" t="s">
        <v>18</v>
      </c>
      <c r="C32" s="18">
        <f>Entry!C33</f>
        <v>42425.340277777781</v>
      </c>
      <c r="D32" s="40">
        <f>Entry!D33</f>
        <v>3.1395833333372138</v>
      </c>
      <c r="E32" s="32">
        <v>100</v>
      </c>
      <c r="F32" s="32">
        <v>10</v>
      </c>
      <c r="G32" s="45">
        <f>Entry!H33</f>
        <v>1.96</v>
      </c>
      <c r="H32" s="45">
        <f>Entry!I33</f>
        <v>1.2</v>
      </c>
      <c r="I32" s="43">
        <v>1</v>
      </c>
      <c r="J32" s="44">
        <f>Entry!$J$3</f>
        <v>1.9438</v>
      </c>
      <c r="K32" s="36">
        <f t="shared" si="0"/>
        <v>0.19600000000000001</v>
      </c>
      <c r="L32" s="36">
        <f t="shared" si="1"/>
        <v>1.6333333333333333</v>
      </c>
      <c r="M32" s="36"/>
      <c r="N32" s="36"/>
      <c r="O32" s="36">
        <f t="shared" si="2"/>
        <v>0.14772879999999999</v>
      </c>
      <c r="P32" s="36">
        <f t="shared" si="3"/>
        <v>4.8206240000000046E-2</v>
      </c>
      <c r="Q32" s="36">
        <f t="shared" si="4"/>
        <v>0.19593504000000003</v>
      </c>
      <c r="R32" s="36"/>
      <c r="S32" s="37"/>
    </row>
    <row r="33" spans="1:21">
      <c r="A33">
        <f>Entry!B34</f>
        <v>705</v>
      </c>
      <c r="B33" s="1" t="s">
        <v>18</v>
      </c>
      <c r="C33" s="18">
        <f>Entry!C34</f>
        <v>42425.347916666666</v>
      </c>
      <c r="D33" s="40">
        <f>Entry!D34</f>
        <v>3.1472222222218988</v>
      </c>
      <c r="E33" s="32">
        <v>100</v>
      </c>
      <c r="F33" s="32">
        <v>10</v>
      </c>
      <c r="G33" s="45">
        <f>Entry!H34</f>
        <v>4.12</v>
      </c>
      <c r="H33" s="45">
        <f>Entry!I34</f>
        <v>2.5099999999999998</v>
      </c>
      <c r="I33" s="43">
        <v>1</v>
      </c>
      <c r="J33" s="44">
        <f>Entry!$J$3</f>
        <v>1.9438</v>
      </c>
      <c r="K33" s="36">
        <f t="shared" si="0"/>
        <v>0.41200000000000003</v>
      </c>
      <c r="L33" s="36">
        <f t="shared" si="1"/>
        <v>1.6414342629482073</v>
      </c>
      <c r="M33" s="36"/>
      <c r="N33" s="36"/>
      <c r="O33" s="36">
        <f t="shared" si="2"/>
        <v>0.31295180000000006</v>
      </c>
      <c r="P33" s="36">
        <f t="shared" si="3"/>
        <v>9.6878991999999872E-2</v>
      </c>
      <c r="Q33" s="36">
        <f t="shared" si="4"/>
        <v>0.40983079199999994</v>
      </c>
      <c r="R33" s="36"/>
      <c r="S33" s="37"/>
    </row>
    <row r="34" spans="1:21">
      <c r="A34">
        <f>Entry!B35</f>
        <v>706</v>
      </c>
      <c r="B34" s="1" t="s">
        <v>18</v>
      </c>
      <c r="C34" s="18">
        <f>Entry!C35</f>
        <v>42425.347916666666</v>
      </c>
      <c r="D34" s="40">
        <f>Entry!D35</f>
        <v>3.1472222222218988</v>
      </c>
      <c r="E34" s="32">
        <v>100</v>
      </c>
      <c r="F34" s="32">
        <v>10</v>
      </c>
      <c r="G34" s="45">
        <f>Entry!H35</f>
        <v>4.6100000000000003</v>
      </c>
      <c r="H34" s="45">
        <f>Entry!I35</f>
        <v>2.8000000000000003</v>
      </c>
      <c r="I34" s="43">
        <v>1</v>
      </c>
      <c r="J34" s="44">
        <f>Entry!$J$3</f>
        <v>1.9438</v>
      </c>
      <c r="K34" s="36">
        <f t="shared" si="0"/>
        <v>0.46100000000000008</v>
      </c>
      <c r="L34" s="36">
        <f t="shared" si="1"/>
        <v>1.6464285714285714</v>
      </c>
      <c r="M34" s="36">
        <f t="shared" si="5"/>
        <v>0.35633333333333339</v>
      </c>
      <c r="N34" s="36">
        <f t="shared" si="6"/>
        <v>1.6403987225700372</v>
      </c>
      <c r="O34" s="36">
        <f t="shared" si="2"/>
        <v>0.35182780000000002</v>
      </c>
      <c r="P34" s="36">
        <f t="shared" si="3"/>
        <v>0.10535396000000014</v>
      </c>
      <c r="Q34" s="36">
        <f t="shared" si="4"/>
        <v>0.45718176000000016</v>
      </c>
      <c r="R34" s="36">
        <f t="shared" si="7"/>
        <v>0.27083613333333334</v>
      </c>
      <c r="S34" s="37">
        <f t="shared" si="8"/>
        <v>8.3479730666666696E-2</v>
      </c>
      <c r="T34">
        <f t="shared" si="9"/>
        <v>0.35431586400000009</v>
      </c>
      <c r="U34">
        <f t="shared" si="10"/>
        <v>0.10837157138444274</v>
      </c>
    </row>
    <row r="35" spans="1:21">
      <c r="A35">
        <f>Entry!B36</f>
        <v>707</v>
      </c>
      <c r="B35" s="1" t="s">
        <v>18</v>
      </c>
      <c r="C35" s="18">
        <f>Entry!C36</f>
        <v>42425.347916666666</v>
      </c>
      <c r="D35" s="40">
        <f>Entry!D36</f>
        <v>3.1472222222218988</v>
      </c>
      <c r="E35" s="32">
        <v>100</v>
      </c>
      <c r="F35" s="32">
        <v>10</v>
      </c>
      <c r="G35" s="45">
        <f>Entry!H36</f>
        <v>4.8500000000000005</v>
      </c>
      <c r="H35" s="45">
        <f>Entry!I36</f>
        <v>2.8200000000000003</v>
      </c>
      <c r="I35" s="43">
        <v>1</v>
      </c>
      <c r="J35" s="44">
        <f>Entry!$J$3</f>
        <v>1.9438</v>
      </c>
      <c r="K35" s="36">
        <f t="shared" si="0"/>
        <v>0.4850000000000001</v>
      </c>
      <c r="L35" s="36">
        <f t="shared" si="1"/>
        <v>1.7198581560283688</v>
      </c>
      <c r="M35" s="36"/>
      <c r="N35" s="36"/>
      <c r="O35" s="36">
        <f t="shared" si="2"/>
        <v>0.39459140000000009</v>
      </c>
      <c r="P35" s="36">
        <f t="shared" si="3"/>
        <v>6.5855944E-2</v>
      </c>
      <c r="Q35" s="36">
        <f t="shared" si="4"/>
        <v>0.46044734400000009</v>
      </c>
      <c r="R35" s="36"/>
      <c r="S35" s="37"/>
    </row>
    <row r="36" spans="1:21">
      <c r="A36">
        <f>Entry!B37</f>
        <v>708</v>
      </c>
      <c r="B36" s="1" t="s">
        <v>18</v>
      </c>
      <c r="C36" s="18">
        <f>Entry!C37</f>
        <v>42425.36041666667</v>
      </c>
      <c r="D36" s="40">
        <f>Entry!D37</f>
        <v>3.1597222222262644</v>
      </c>
      <c r="E36" s="32">
        <v>100</v>
      </c>
      <c r="F36" s="32">
        <v>10</v>
      </c>
      <c r="G36" s="45">
        <f>Entry!H37</f>
        <v>2.81</v>
      </c>
      <c r="H36" s="45">
        <f>Entry!I37</f>
        <v>1.69</v>
      </c>
      <c r="I36" s="43">
        <v>1</v>
      </c>
      <c r="J36" s="44">
        <f>Entry!$J$3</f>
        <v>1.9438</v>
      </c>
      <c r="K36" s="36">
        <f t="shared" si="0"/>
        <v>0.28100000000000003</v>
      </c>
      <c r="L36" s="36">
        <f t="shared" si="1"/>
        <v>1.6627218934911243</v>
      </c>
      <c r="M36" s="36"/>
      <c r="N36" s="36"/>
      <c r="O36" s="36">
        <f t="shared" si="2"/>
        <v>0.21770560000000005</v>
      </c>
      <c r="P36" s="36">
        <f t="shared" si="3"/>
        <v>5.823624799999997E-2</v>
      </c>
      <c r="Q36" s="36">
        <f t="shared" si="4"/>
        <v>0.27594184800000005</v>
      </c>
      <c r="R36" s="36"/>
      <c r="S36" s="37"/>
    </row>
    <row r="37" spans="1:21">
      <c r="A37">
        <f>Entry!B38</f>
        <v>709</v>
      </c>
      <c r="B37" s="1" t="s">
        <v>18</v>
      </c>
      <c r="C37" s="18">
        <f>Entry!C38</f>
        <v>42425.36041666667</v>
      </c>
      <c r="D37" s="40">
        <f>Entry!D38</f>
        <v>3.1597222222262644</v>
      </c>
      <c r="E37" s="32">
        <v>100</v>
      </c>
      <c r="F37" s="32">
        <v>10</v>
      </c>
      <c r="G37" s="45">
        <f>Entry!H38</f>
        <v>3.13</v>
      </c>
      <c r="H37" s="45">
        <f>Entry!I38</f>
        <v>1.84</v>
      </c>
      <c r="I37" s="43">
        <v>1</v>
      </c>
      <c r="J37" s="44">
        <f>Entry!$J$3</f>
        <v>1.9438</v>
      </c>
      <c r="K37" s="36">
        <f t="shared" si="0"/>
        <v>0.313</v>
      </c>
      <c r="L37" s="36">
        <f t="shared" si="1"/>
        <v>1.701086956521739</v>
      </c>
      <c r="M37" s="36">
        <f t="shared" si="5"/>
        <v>0.35966666666666675</v>
      </c>
      <c r="N37" s="36">
        <f t="shared" si="6"/>
        <v>1.6945556686804109</v>
      </c>
      <c r="O37" s="36">
        <f t="shared" si="2"/>
        <v>0.25075019999999998</v>
      </c>
      <c r="P37" s="36">
        <f t="shared" si="3"/>
        <v>4.968352800000006E-2</v>
      </c>
      <c r="Q37" s="36">
        <f t="shared" si="4"/>
        <v>0.30043372800000001</v>
      </c>
      <c r="R37" s="36">
        <f t="shared" si="7"/>
        <v>0.2876824</v>
      </c>
      <c r="S37" s="37">
        <f t="shared" si="8"/>
        <v>5.792524000000001E-2</v>
      </c>
      <c r="T37">
        <f t="shared" si="9"/>
        <v>0.34560764000000005</v>
      </c>
      <c r="U37">
        <f t="shared" si="10"/>
        <v>9.4048589080538786E-2</v>
      </c>
    </row>
    <row r="38" spans="1:21">
      <c r="A38">
        <f>Entry!B39</f>
        <v>710</v>
      </c>
      <c r="B38" s="1" t="s">
        <v>18</v>
      </c>
      <c r="C38" s="18">
        <f>Entry!C39</f>
        <v>42425.36041666667</v>
      </c>
      <c r="D38" s="40">
        <f>Entry!D39</f>
        <v>3.1597222222262644</v>
      </c>
      <c r="E38" s="32">
        <v>100</v>
      </c>
      <c r="F38" s="32">
        <v>10</v>
      </c>
      <c r="G38" s="45">
        <f>Entry!H39</f>
        <v>1.74</v>
      </c>
      <c r="H38" s="45">
        <f>Entry!I39</f>
        <v>1.04</v>
      </c>
      <c r="I38" s="43">
        <v>1</v>
      </c>
      <c r="J38" s="44">
        <f>Entry!$J$3</f>
        <v>1.9438</v>
      </c>
      <c r="K38" s="36">
        <f t="shared" si="0"/>
        <v>0.17400000000000002</v>
      </c>
      <c r="L38" s="36">
        <f t="shared" si="1"/>
        <v>1.6730769230769229</v>
      </c>
      <c r="M38" s="36"/>
      <c r="N38" s="36"/>
      <c r="O38" s="36">
        <f t="shared" si="2"/>
        <v>0.13606599999999999</v>
      </c>
      <c r="P38" s="36">
        <f t="shared" si="3"/>
        <v>3.3744368000000038E-2</v>
      </c>
      <c r="Q38" s="36">
        <f t="shared" si="4"/>
        <v>0.16981036800000004</v>
      </c>
      <c r="R38" s="36"/>
      <c r="S38" s="37"/>
    </row>
    <row r="39" spans="1:21">
      <c r="A39">
        <f>Entry!B40</f>
        <v>711</v>
      </c>
      <c r="B39" s="1" t="s">
        <v>18</v>
      </c>
      <c r="C39" s="18">
        <f>Entry!C40</f>
        <v>42425.378472222219</v>
      </c>
      <c r="D39" s="40">
        <f>Entry!D40</f>
        <v>3.1777777777751908</v>
      </c>
      <c r="E39" s="32">
        <v>100</v>
      </c>
      <c r="F39" s="32">
        <v>10</v>
      </c>
      <c r="G39" s="45">
        <f>Entry!H40</f>
        <v>1.89</v>
      </c>
      <c r="H39" s="45">
        <f>Entry!I40</f>
        <v>1.1100000000000001</v>
      </c>
      <c r="I39" s="43">
        <v>1</v>
      </c>
      <c r="J39" s="44">
        <f>Entry!$J$3</f>
        <v>1.9438</v>
      </c>
      <c r="K39" s="36">
        <f t="shared" si="0"/>
        <v>0.189</v>
      </c>
      <c r="L39" s="36">
        <f t="shared" si="1"/>
        <v>1.7027027027027024</v>
      </c>
      <c r="M39" s="36"/>
      <c r="N39" s="36"/>
      <c r="O39" s="36">
        <f t="shared" si="2"/>
        <v>0.15161639999999998</v>
      </c>
      <c r="P39" s="36">
        <f t="shared" si="3"/>
        <v>2.9623512000000064E-2</v>
      </c>
      <c r="Q39" s="36">
        <f t="shared" si="4"/>
        <v>0.18123991200000006</v>
      </c>
      <c r="R39" s="36"/>
      <c r="S39" s="37"/>
    </row>
    <row r="40" spans="1:21">
      <c r="A40">
        <f>Entry!B41</f>
        <v>712</v>
      </c>
      <c r="B40" s="1" t="s">
        <v>18</v>
      </c>
      <c r="C40" s="18">
        <f>Entry!C41</f>
        <v>42425.378472222219</v>
      </c>
      <c r="D40" s="40">
        <f>Entry!D41</f>
        <v>3.1777777777751908</v>
      </c>
      <c r="E40" s="32">
        <v>100</v>
      </c>
      <c r="F40" s="32">
        <v>10</v>
      </c>
      <c r="G40" s="45">
        <f>Entry!H41</f>
        <v>1.38</v>
      </c>
      <c r="H40" s="45">
        <f>Entry!I41</f>
        <v>0.81200000000000006</v>
      </c>
      <c r="I40" s="43">
        <v>1</v>
      </c>
      <c r="J40" s="44">
        <f>Entry!$J$3</f>
        <v>1.9438</v>
      </c>
      <c r="K40" s="36">
        <f t="shared" si="0"/>
        <v>0.13799999999999998</v>
      </c>
      <c r="L40" s="36">
        <f t="shared" si="1"/>
        <v>1.6995073891625614</v>
      </c>
      <c r="M40" s="36"/>
      <c r="N40" s="36"/>
      <c r="O40" s="36">
        <f t="shared" si="2"/>
        <v>0.11040783999999998</v>
      </c>
      <c r="P40" s="36">
        <f t="shared" si="3"/>
        <v>2.2174870400000036E-2</v>
      </c>
      <c r="Q40" s="36">
        <f t="shared" si="4"/>
        <v>0.13258271040000003</v>
      </c>
      <c r="R40" s="36"/>
      <c r="S40" s="37"/>
    </row>
    <row r="41" spans="1:21">
      <c r="A41">
        <f>Entry!B42</f>
        <v>713</v>
      </c>
      <c r="B41" s="1" t="s">
        <v>18</v>
      </c>
      <c r="C41" s="18">
        <f>Entry!C42</f>
        <v>42425.378472222219</v>
      </c>
      <c r="D41" s="40">
        <f>Entry!D42</f>
        <v>3.1777777777751908</v>
      </c>
      <c r="E41" s="32">
        <v>100</v>
      </c>
      <c r="F41" s="32">
        <v>10</v>
      </c>
      <c r="G41" s="45">
        <f>Entry!H42</f>
        <v>1.21</v>
      </c>
      <c r="H41" s="45">
        <f>Entry!I42</f>
        <v>0.73199999999999998</v>
      </c>
      <c r="I41" s="43">
        <v>1</v>
      </c>
      <c r="J41" s="44">
        <f>Entry!$J$3</f>
        <v>1.9438</v>
      </c>
      <c r="K41" s="36">
        <f t="shared" si="0"/>
        <v>0.121</v>
      </c>
      <c r="L41" s="36">
        <f t="shared" si="1"/>
        <v>1.6530054644808743</v>
      </c>
      <c r="M41" s="36">
        <f t="shared" si="5"/>
        <v>0.14933333333333332</v>
      </c>
      <c r="N41" s="36">
        <f t="shared" si="6"/>
        <v>1.6850718521153796</v>
      </c>
      <c r="O41" s="36">
        <f t="shared" si="2"/>
        <v>9.2913640000000006E-2</v>
      </c>
      <c r="P41" s="36">
        <f t="shared" si="3"/>
        <v>2.6606734400000023E-2</v>
      </c>
      <c r="Q41" s="36">
        <f t="shared" si="4"/>
        <v>0.11952037440000003</v>
      </c>
      <c r="R41" s="36">
        <f t="shared" si="7"/>
        <v>0.11831262666666666</v>
      </c>
      <c r="S41" s="37">
        <f t="shared" si="8"/>
        <v>2.6135038933333372E-2</v>
      </c>
      <c r="T41">
        <f t="shared" si="9"/>
        <v>0.14444766560000002</v>
      </c>
      <c r="U41">
        <f t="shared" si="10"/>
        <v>3.013913978680436E-2</v>
      </c>
    </row>
    <row r="42" spans="1:21">
      <c r="A42">
        <f>Entry!B43</f>
        <v>714</v>
      </c>
      <c r="B42" s="1" t="s">
        <v>18</v>
      </c>
      <c r="C42" s="18">
        <f>Entry!C43</f>
        <v>42425.399305555555</v>
      </c>
      <c r="D42" s="40">
        <f>Entry!D43</f>
        <v>3.1986111111109494</v>
      </c>
      <c r="E42" s="32">
        <v>100</v>
      </c>
      <c r="F42" s="32">
        <v>10</v>
      </c>
      <c r="G42" s="45">
        <f>Entry!H43</f>
        <v>1.41</v>
      </c>
      <c r="H42" s="45">
        <f>Entry!I43</f>
        <v>0.82599999999999996</v>
      </c>
      <c r="I42" s="43">
        <v>1</v>
      </c>
      <c r="J42" s="44">
        <f>Entry!$J$3</f>
        <v>1.9438</v>
      </c>
      <c r="K42" s="36">
        <f t="shared" si="0"/>
        <v>0.14099999999999999</v>
      </c>
      <c r="L42" s="36">
        <f t="shared" si="1"/>
        <v>1.7070217917675545</v>
      </c>
      <c r="M42" s="36"/>
      <c r="N42" s="36"/>
      <c r="O42" s="36">
        <f t="shared" si="2"/>
        <v>0.11351791999999999</v>
      </c>
      <c r="P42" s="36">
        <f t="shared" si="3"/>
        <v>2.1350699200000031E-2</v>
      </c>
      <c r="Q42" s="36">
        <f t="shared" si="4"/>
        <v>0.13486861920000004</v>
      </c>
      <c r="R42" s="36"/>
      <c r="S42" s="37"/>
    </row>
    <row r="43" spans="1:21">
      <c r="A43">
        <f>Entry!B44</f>
        <v>715</v>
      </c>
      <c r="B43" s="1" t="s">
        <v>18</v>
      </c>
      <c r="C43" s="18">
        <f>Entry!C44</f>
        <v>42425.399305555555</v>
      </c>
      <c r="D43" s="40">
        <f>Entry!D44</f>
        <v>3.1986111111109494</v>
      </c>
      <c r="E43" s="32">
        <v>100</v>
      </c>
      <c r="F43" s="32">
        <v>10</v>
      </c>
      <c r="G43" s="45">
        <f>Entry!H44</f>
        <v>1.57</v>
      </c>
      <c r="H43" s="45">
        <f>Entry!I44</f>
        <v>0.91100000000000003</v>
      </c>
      <c r="I43" s="43">
        <v>1</v>
      </c>
      <c r="J43" s="44">
        <f>Entry!$J$3</f>
        <v>1.9438</v>
      </c>
      <c r="K43" s="36">
        <f t="shared" si="0"/>
        <v>0.15700000000000003</v>
      </c>
      <c r="L43" s="36">
        <f t="shared" si="1"/>
        <v>1.7233809001097695</v>
      </c>
      <c r="M43" s="36"/>
      <c r="N43" s="36"/>
      <c r="O43" s="36">
        <f t="shared" si="2"/>
        <v>0.12809642000000002</v>
      </c>
      <c r="P43" s="36">
        <f t="shared" si="3"/>
        <v>2.0650931200000024E-2</v>
      </c>
      <c r="Q43" s="36">
        <f t="shared" si="4"/>
        <v>0.14874735120000004</v>
      </c>
      <c r="R43" s="36"/>
      <c r="S43" s="37"/>
    </row>
    <row r="44" spans="1:21">
      <c r="A44">
        <f>Entry!B45</f>
        <v>716</v>
      </c>
      <c r="B44" s="1" t="s">
        <v>18</v>
      </c>
      <c r="C44" s="18">
        <f>Entry!C45</f>
        <v>42425.399305555555</v>
      </c>
      <c r="D44" s="40">
        <f>Entry!D45</f>
        <v>3.1986111111109494</v>
      </c>
      <c r="E44" s="32">
        <v>100</v>
      </c>
      <c r="F44" s="32">
        <v>10</v>
      </c>
      <c r="G44" s="45">
        <f>Entry!H45</f>
        <v>1.22</v>
      </c>
      <c r="H44" s="45">
        <f>Entry!I45</f>
        <v>0.72099999999999997</v>
      </c>
      <c r="I44" s="43">
        <v>1</v>
      </c>
      <c r="J44" s="44">
        <f>Entry!$J$3</f>
        <v>1.9438</v>
      </c>
      <c r="K44" s="36">
        <f t="shared" si="0"/>
        <v>0.122</v>
      </c>
      <c r="L44" s="36">
        <f t="shared" si="1"/>
        <v>1.6920943134535367</v>
      </c>
      <c r="M44" s="36">
        <f t="shared" si="5"/>
        <v>0.14000000000000001</v>
      </c>
      <c r="N44" s="36">
        <f t="shared" si="6"/>
        <v>1.7074990017769538</v>
      </c>
      <c r="O44" s="36">
        <f t="shared" si="2"/>
        <v>9.6995620000000005E-2</v>
      </c>
      <c r="P44" s="36">
        <f t="shared" si="3"/>
        <v>2.0728683200000014E-2</v>
      </c>
      <c r="Q44" s="36">
        <f t="shared" si="4"/>
        <v>0.11772430320000002</v>
      </c>
      <c r="R44" s="36">
        <f t="shared" si="7"/>
        <v>0.11286998666666666</v>
      </c>
      <c r="S44" s="37">
        <f t="shared" si="8"/>
        <v>2.0910104533333359E-2</v>
      </c>
      <c r="T44">
        <f t="shared" si="9"/>
        <v>0.13378009120000003</v>
      </c>
      <c r="U44">
        <f t="shared" si="10"/>
        <v>1.5560520664917941E-2</v>
      </c>
    </row>
    <row r="45" spans="1:21">
      <c r="A45">
        <f>Entry!B46</f>
        <v>717</v>
      </c>
      <c r="B45" s="1" t="s">
        <v>18</v>
      </c>
      <c r="C45" s="18">
        <f>Entry!C46</f>
        <v>42425.414583333331</v>
      </c>
      <c r="D45" s="40">
        <f>Entry!D46</f>
        <v>3.2138888888875954</v>
      </c>
      <c r="E45" s="32">
        <v>100</v>
      </c>
      <c r="F45" s="32">
        <v>10</v>
      </c>
      <c r="G45" s="45">
        <f>Entry!H46</f>
        <v>1.41</v>
      </c>
      <c r="H45" s="45">
        <f>Entry!I46</f>
        <v>0.80400000000000005</v>
      </c>
      <c r="I45" s="43">
        <v>1</v>
      </c>
      <c r="J45" s="44">
        <f>Entry!$J$3</f>
        <v>1.9438</v>
      </c>
      <c r="K45" s="36">
        <f t="shared" si="0"/>
        <v>0.14099999999999999</v>
      </c>
      <c r="L45" s="36">
        <f t="shared" si="1"/>
        <v>1.7537313432835819</v>
      </c>
      <c r="M45" s="36"/>
      <c r="N45" s="36"/>
      <c r="O45" s="36">
        <f t="shared" si="2"/>
        <v>0.11779427999999999</v>
      </c>
      <c r="P45" s="36">
        <f t="shared" si="3"/>
        <v>1.3482196800000061E-2</v>
      </c>
      <c r="Q45" s="36">
        <f t="shared" si="4"/>
        <v>0.13127647680000004</v>
      </c>
      <c r="R45" s="36"/>
      <c r="S45" s="37"/>
    </row>
    <row r="46" spans="1:21">
      <c r="A46">
        <f>Entry!B47</f>
        <v>718</v>
      </c>
      <c r="B46" s="1" t="s">
        <v>18</v>
      </c>
      <c r="C46" s="18">
        <f>Entry!C47</f>
        <v>42425.414583333331</v>
      </c>
      <c r="D46" s="40">
        <f>Entry!D47</f>
        <v>3.2138888888875954</v>
      </c>
      <c r="E46" s="32">
        <v>100</v>
      </c>
      <c r="F46" s="32">
        <v>10</v>
      </c>
      <c r="G46" s="45">
        <f>Entry!H47</f>
        <v>1.28</v>
      </c>
      <c r="H46" s="45">
        <f>Entry!I47</f>
        <v>0.754</v>
      </c>
      <c r="I46" s="43">
        <v>1</v>
      </c>
      <c r="J46" s="44">
        <f>Entry!$J$3</f>
        <v>1.9438</v>
      </c>
      <c r="K46" s="36">
        <f t="shared" si="0"/>
        <v>0.128</v>
      </c>
      <c r="L46" s="36">
        <f t="shared" si="1"/>
        <v>1.6976127320954908</v>
      </c>
      <c r="M46" s="36"/>
      <c r="N46" s="36"/>
      <c r="O46" s="36">
        <f t="shared" si="2"/>
        <v>0.10224388000000001</v>
      </c>
      <c r="P46" s="36">
        <f t="shared" si="3"/>
        <v>2.0868636800000024E-2</v>
      </c>
      <c r="Q46" s="36">
        <f t="shared" si="4"/>
        <v>0.12311251680000003</v>
      </c>
      <c r="R46" s="36"/>
      <c r="S46" s="37"/>
    </row>
    <row r="47" spans="1:21">
      <c r="A47">
        <f>Entry!B48</f>
        <v>719</v>
      </c>
      <c r="B47" s="1" t="s">
        <v>18</v>
      </c>
      <c r="C47" s="18">
        <f>Entry!C48</f>
        <v>42425.414583333331</v>
      </c>
      <c r="D47" s="40">
        <f>Entry!D48</f>
        <v>3.2138888888875954</v>
      </c>
      <c r="E47" s="32">
        <v>100</v>
      </c>
      <c r="F47" s="32">
        <v>10</v>
      </c>
      <c r="G47" s="45">
        <f>Entry!H48</f>
        <v>1.21</v>
      </c>
      <c r="H47" s="45">
        <f>Entry!I48</f>
        <v>0.71599999999999997</v>
      </c>
      <c r="I47" s="43">
        <v>1</v>
      </c>
      <c r="J47" s="44">
        <f>Entry!$J$3</f>
        <v>1.9438</v>
      </c>
      <c r="K47" s="36">
        <f t="shared" si="0"/>
        <v>0.121</v>
      </c>
      <c r="L47" s="36">
        <f t="shared" si="1"/>
        <v>1.6899441340782122</v>
      </c>
      <c r="M47" s="36">
        <f t="shared" si="5"/>
        <v>0.13</v>
      </c>
      <c r="N47" s="36">
        <f t="shared" si="6"/>
        <v>1.7137627364857615</v>
      </c>
      <c r="O47" s="36">
        <f t="shared" si="2"/>
        <v>9.6023720000000007E-2</v>
      </c>
      <c r="P47" s="36">
        <f t="shared" si="3"/>
        <v>2.0884187199999998E-2</v>
      </c>
      <c r="Q47" s="36">
        <f t="shared" si="4"/>
        <v>0.11690790720000001</v>
      </c>
      <c r="R47" s="36">
        <f t="shared" si="7"/>
        <v>0.10535396000000001</v>
      </c>
      <c r="S47" s="37">
        <f t="shared" si="8"/>
        <v>1.8411673600000029E-2</v>
      </c>
      <c r="T47">
        <f t="shared" si="9"/>
        <v>0.12376563360000002</v>
      </c>
      <c r="U47">
        <f t="shared" si="10"/>
        <v>1.1213552910795033E-2</v>
      </c>
    </row>
    <row r="48" spans="1:21">
      <c r="A48">
        <f>Entry!B49</f>
        <v>720</v>
      </c>
      <c r="B48" s="1" t="s">
        <v>18</v>
      </c>
      <c r="C48" s="18">
        <f>Entry!C49</f>
        <v>42426.333333333336</v>
      </c>
      <c r="D48" s="40">
        <f>Entry!D49</f>
        <v>4.132638888891961</v>
      </c>
      <c r="E48" s="32">
        <v>100</v>
      </c>
      <c r="F48" s="32">
        <v>10</v>
      </c>
      <c r="G48" s="45">
        <f>Entry!H49</f>
        <v>2.6</v>
      </c>
      <c r="H48" s="45">
        <f>Entry!I49</f>
        <v>1.54</v>
      </c>
      <c r="I48" s="43">
        <v>1</v>
      </c>
      <c r="J48" s="44">
        <f>Entry!$J$3</f>
        <v>1.9438</v>
      </c>
      <c r="K48" s="36">
        <f t="shared" si="0"/>
        <v>0.26</v>
      </c>
      <c r="L48" s="36">
        <f t="shared" si="1"/>
        <v>1.6883116883116884</v>
      </c>
      <c r="M48" s="36"/>
      <c r="N48" s="36"/>
      <c r="O48" s="36">
        <f t="shared" si="2"/>
        <v>0.2060428</v>
      </c>
      <c r="P48" s="36">
        <f t="shared" si="3"/>
        <v>4.5407168000000005E-2</v>
      </c>
      <c r="Q48" s="36">
        <f t="shared" si="4"/>
        <v>0.25144996800000002</v>
      </c>
      <c r="R48" s="36"/>
      <c r="S48" s="37"/>
    </row>
    <row r="49" spans="1:21">
      <c r="A49">
        <f>Entry!B50</f>
        <v>720</v>
      </c>
      <c r="B49" s="1" t="s">
        <v>18</v>
      </c>
      <c r="C49" s="18">
        <f>Entry!C50</f>
        <v>42426.333333333336</v>
      </c>
      <c r="D49" s="40">
        <f>Entry!D50</f>
        <v>4.132638888891961</v>
      </c>
      <c r="E49" s="32">
        <v>100</v>
      </c>
      <c r="F49" s="32">
        <v>10</v>
      </c>
      <c r="G49" s="45">
        <f>Entry!H50</f>
        <v>2.78</v>
      </c>
      <c r="H49" s="45">
        <f>Entry!I50</f>
        <v>1.66</v>
      </c>
      <c r="I49" s="43">
        <v>1</v>
      </c>
      <c r="J49" s="44">
        <f>Entry!$J$3</f>
        <v>1.9438</v>
      </c>
      <c r="K49" s="36">
        <f t="shared" si="0"/>
        <v>0.27799999999999997</v>
      </c>
      <c r="L49" s="36">
        <f t="shared" si="1"/>
        <v>1.6746987951807228</v>
      </c>
      <c r="M49" s="36"/>
      <c r="N49" s="36"/>
      <c r="O49" s="36">
        <f t="shared" si="2"/>
        <v>0.2177056</v>
      </c>
      <c r="P49" s="36">
        <f t="shared" si="3"/>
        <v>5.3337872000000001E-2</v>
      </c>
      <c r="Q49" s="36">
        <f t="shared" si="4"/>
        <v>0.27104347200000001</v>
      </c>
      <c r="R49" s="36"/>
      <c r="S49" s="37"/>
    </row>
    <row r="50" spans="1:21">
      <c r="A50">
        <f>Entry!B51</f>
        <v>720</v>
      </c>
      <c r="B50" s="1" t="s">
        <v>18</v>
      </c>
      <c r="C50" s="18">
        <f>Entry!C51</f>
        <v>42426.333333333336</v>
      </c>
      <c r="D50" s="40">
        <f>Entry!D51</f>
        <v>4.132638888891961</v>
      </c>
      <c r="E50" s="32">
        <v>100</v>
      </c>
      <c r="F50" s="32">
        <v>10</v>
      </c>
      <c r="G50" s="45">
        <f>Entry!H51</f>
        <v>2.61</v>
      </c>
      <c r="H50" s="45">
        <f>Entry!I51</f>
        <v>1.57</v>
      </c>
      <c r="I50" s="43">
        <v>1</v>
      </c>
      <c r="J50" s="44">
        <f>Entry!$J$3</f>
        <v>1.9438</v>
      </c>
      <c r="K50" s="36">
        <f t="shared" si="0"/>
        <v>0.26100000000000001</v>
      </c>
      <c r="L50" s="36">
        <f t="shared" si="1"/>
        <v>1.6624203821656049</v>
      </c>
      <c r="M50" s="36"/>
      <c r="N50" s="36"/>
      <c r="O50" s="36">
        <f t="shared" si="2"/>
        <v>0.20215519999999998</v>
      </c>
      <c r="P50" s="36">
        <f t="shared" si="3"/>
        <v>5.4193144000000075E-2</v>
      </c>
      <c r="Q50" s="36">
        <f t="shared" si="4"/>
        <v>0.25634834400000006</v>
      </c>
      <c r="R50" s="36"/>
      <c r="S50" s="37"/>
    </row>
    <row r="51" spans="1:21">
      <c r="A51">
        <f>Entry!B52</f>
        <v>721</v>
      </c>
      <c r="B51" s="1" t="s">
        <v>18</v>
      </c>
      <c r="C51" s="18">
        <f>Entry!C52</f>
        <v>42426.333333333336</v>
      </c>
      <c r="D51" s="40">
        <f>Entry!D52</f>
        <v>4.132638888891961</v>
      </c>
      <c r="E51" s="32">
        <v>100</v>
      </c>
      <c r="F51" s="32">
        <v>10</v>
      </c>
      <c r="G51" s="45">
        <f>Entry!H52</f>
        <v>2.2200000000000002</v>
      </c>
      <c r="H51" s="45">
        <f>Entry!I52</f>
        <v>1.29</v>
      </c>
      <c r="I51" s="43">
        <v>1</v>
      </c>
      <c r="J51" s="44">
        <f>Entry!$J$3</f>
        <v>1.9438</v>
      </c>
      <c r="K51" s="36">
        <f t="shared" si="0"/>
        <v>0.22200000000000003</v>
      </c>
      <c r="L51" s="36">
        <f t="shared" si="1"/>
        <v>1.7209302325581397</v>
      </c>
      <c r="M51" s="36"/>
      <c r="N51" s="36"/>
      <c r="O51" s="36">
        <f t="shared" si="2"/>
        <v>0.18077340000000003</v>
      </c>
      <c r="P51" s="36">
        <f t="shared" si="3"/>
        <v>2.9856767999999992E-2</v>
      </c>
      <c r="Q51" s="36">
        <f t="shared" si="4"/>
        <v>0.21063016800000001</v>
      </c>
      <c r="R51" s="36"/>
      <c r="S51" s="37"/>
    </row>
    <row r="52" spans="1:21">
      <c r="A52">
        <f>Entry!B53</f>
        <v>722</v>
      </c>
      <c r="B52" s="1" t="s">
        <v>18</v>
      </c>
      <c r="C52" s="18">
        <f>Entry!C53</f>
        <v>42426.333333333336</v>
      </c>
      <c r="D52" s="40">
        <f>Entry!D53</f>
        <v>4.132638888891961</v>
      </c>
      <c r="E52" s="32">
        <v>100</v>
      </c>
      <c r="F52" s="32">
        <v>10</v>
      </c>
      <c r="G52" s="45">
        <f>Entry!H53</f>
        <v>2.29</v>
      </c>
      <c r="H52" s="45">
        <f>Entry!I53</f>
        <v>1.32</v>
      </c>
      <c r="I52" s="43">
        <v>1</v>
      </c>
      <c r="J52" s="44">
        <f>Entry!$J$3</f>
        <v>1.9438</v>
      </c>
      <c r="K52" s="36">
        <f t="shared" si="0"/>
        <v>0.22900000000000001</v>
      </c>
      <c r="L52" s="36">
        <f t="shared" si="1"/>
        <v>1.7348484848484849</v>
      </c>
      <c r="M52" s="36">
        <f t="shared" si="5"/>
        <v>0.23733333333333337</v>
      </c>
      <c r="N52" s="36">
        <f t="shared" si="6"/>
        <v>1.7060663665240767</v>
      </c>
      <c r="O52" s="36">
        <f t="shared" si="2"/>
        <v>0.18854860000000001</v>
      </c>
      <c r="P52" s="36">
        <f t="shared" si="3"/>
        <v>2.6979944000000051E-2</v>
      </c>
      <c r="Q52" s="36">
        <f t="shared" si="4"/>
        <v>0.21552854400000007</v>
      </c>
      <c r="R52" s="36">
        <f t="shared" si="7"/>
        <v>0.19049240000000001</v>
      </c>
      <c r="S52" s="37">
        <f t="shared" si="8"/>
        <v>3.7009952000000033E-2</v>
      </c>
      <c r="T52">
        <f t="shared" si="9"/>
        <v>0.22750235200000005</v>
      </c>
      <c r="U52">
        <f t="shared" si="10"/>
        <v>1.0822620368468972E-2</v>
      </c>
    </row>
    <row r="53" spans="1:21">
      <c r="A53">
        <f>Entry!B54</f>
        <v>723</v>
      </c>
      <c r="B53" s="1" t="s">
        <v>18</v>
      </c>
      <c r="C53" s="18">
        <f>Entry!C54</f>
        <v>42426.34375</v>
      </c>
      <c r="D53" s="40">
        <f>Entry!D54</f>
        <v>4.1430555555562023</v>
      </c>
      <c r="E53" s="32">
        <v>100</v>
      </c>
      <c r="F53" s="32">
        <v>10</v>
      </c>
      <c r="G53" s="45">
        <f>Entry!H54</f>
        <v>4.2300000000000004</v>
      </c>
      <c r="H53" s="45">
        <f>Entry!I54</f>
        <v>2.35</v>
      </c>
      <c r="I53" s="43">
        <v>1</v>
      </c>
      <c r="J53" s="44">
        <f>Entry!$J$3</f>
        <v>1.9438</v>
      </c>
      <c r="K53" s="36">
        <f t="shared" si="0"/>
        <v>0.42300000000000004</v>
      </c>
      <c r="L53" s="36">
        <f t="shared" si="1"/>
        <v>1.8</v>
      </c>
      <c r="M53" s="36"/>
      <c r="N53" s="36"/>
      <c r="O53" s="36">
        <f t="shared" si="2"/>
        <v>0.36543440000000005</v>
      </c>
      <c r="P53" s="36">
        <f t="shared" si="3"/>
        <v>1.8271720000000057E-2</v>
      </c>
      <c r="Q53" s="36">
        <f t="shared" si="4"/>
        <v>0.38370612000000009</v>
      </c>
      <c r="R53" s="36"/>
      <c r="S53" s="37"/>
    </row>
    <row r="54" spans="1:21">
      <c r="A54">
        <f>Entry!B55</f>
        <v>723</v>
      </c>
      <c r="B54" s="1" t="s">
        <v>18</v>
      </c>
      <c r="C54" s="18">
        <f>Entry!C55</f>
        <v>42426.34375</v>
      </c>
      <c r="D54" s="40">
        <f>Entry!D55</f>
        <v>4.1430555555562023</v>
      </c>
      <c r="E54" s="32">
        <v>100</v>
      </c>
      <c r="F54" s="32">
        <v>10</v>
      </c>
      <c r="G54" s="45">
        <f>Entry!H55</f>
        <v>4.12</v>
      </c>
      <c r="H54" s="45">
        <f>Entry!I55</f>
        <v>2.5100000000000002</v>
      </c>
      <c r="I54" s="43">
        <v>1</v>
      </c>
      <c r="J54" s="44">
        <f>Entry!$J$3</f>
        <v>1.9438</v>
      </c>
      <c r="K54" s="36">
        <f t="shared" si="0"/>
        <v>0.41200000000000003</v>
      </c>
      <c r="L54" s="36">
        <f t="shared" si="1"/>
        <v>1.641434262948207</v>
      </c>
      <c r="M54" s="36"/>
      <c r="N54" s="36"/>
      <c r="O54" s="36">
        <f t="shared" si="2"/>
        <v>0.3129518</v>
      </c>
      <c r="P54" s="36">
        <f t="shared" si="3"/>
        <v>9.6878992000000039E-2</v>
      </c>
      <c r="Q54" s="36">
        <f t="shared" si="4"/>
        <v>0.40983079200000005</v>
      </c>
      <c r="R54" s="36"/>
      <c r="S54" s="37"/>
    </row>
    <row r="55" spans="1:21">
      <c r="A55">
        <f>Entry!B56</f>
        <v>723</v>
      </c>
      <c r="B55" s="1" t="s">
        <v>18</v>
      </c>
      <c r="C55" s="18">
        <f>Entry!C56</f>
        <v>42426.34375</v>
      </c>
      <c r="D55" s="40">
        <f>Entry!D56</f>
        <v>4.1430555555562023</v>
      </c>
      <c r="E55" s="32">
        <v>100</v>
      </c>
      <c r="F55" s="32">
        <v>10</v>
      </c>
      <c r="G55" s="45">
        <f>Entry!H56</f>
        <v>4.07</v>
      </c>
      <c r="H55" s="45">
        <f>Entry!I56</f>
        <v>2.37</v>
      </c>
      <c r="I55" s="43">
        <v>1</v>
      </c>
      <c r="J55" s="44">
        <f>Entry!$J$3</f>
        <v>1.9438</v>
      </c>
      <c r="K55" s="36">
        <f t="shared" si="0"/>
        <v>0.40700000000000003</v>
      </c>
      <c r="L55" s="36">
        <f t="shared" si="1"/>
        <v>1.7172995780590719</v>
      </c>
      <c r="M55" s="36"/>
      <c r="N55" s="36"/>
      <c r="O55" s="36">
        <f t="shared" si="2"/>
        <v>0.33044600000000002</v>
      </c>
      <c r="P55" s="36">
        <f t="shared" si="3"/>
        <v>5.6525703999999989E-2</v>
      </c>
      <c r="Q55" s="36">
        <f t="shared" si="4"/>
        <v>0.38697170400000003</v>
      </c>
      <c r="R55" s="36"/>
      <c r="S55" s="37"/>
    </row>
    <row r="56" spans="1:21">
      <c r="A56">
        <f>Entry!B57</f>
        <v>724</v>
      </c>
      <c r="B56" s="1" t="s">
        <v>18</v>
      </c>
      <c r="C56" s="18">
        <f>Entry!C57</f>
        <v>42426.34375</v>
      </c>
      <c r="D56" s="40">
        <f>Entry!D57</f>
        <v>4.1430555555562023</v>
      </c>
      <c r="E56" s="32">
        <v>100</v>
      </c>
      <c r="F56" s="32">
        <v>10</v>
      </c>
      <c r="G56" s="45">
        <f>Entry!H57</f>
        <v>4.18</v>
      </c>
      <c r="H56" s="45">
        <f>Entry!I57</f>
        <v>2.4900000000000002</v>
      </c>
      <c r="I56" s="43">
        <v>1</v>
      </c>
      <c r="J56" s="44">
        <f>Entry!$J$3</f>
        <v>1.9438</v>
      </c>
      <c r="K56" s="36">
        <f t="shared" si="0"/>
        <v>0.41799999999999998</v>
      </c>
      <c r="L56" s="36">
        <f t="shared" si="1"/>
        <v>1.6787148594377508</v>
      </c>
      <c r="M56" s="36"/>
      <c r="N56" s="36"/>
      <c r="O56" s="36">
        <f t="shared" si="2"/>
        <v>0.32850219999999991</v>
      </c>
      <c r="P56" s="36">
        <f t="shared" si="3"/>
        <v>7.8063008000000211E-2</v>
      </c>
      <c r="Q56" s="36">
        <f t="shared" si="4"/>
        <v>0.40656520800000012</v>
      </c>
      <c r="R56" s="36"/>
      <c r="S56" s="37"/>
    </row>
    <row r="57" spans="1:21">
      <c r="A57">
        <f>Entry!B58</f>
        <v>725</v>
      </c>
      <c r="B57" s="1" t="s">
        <v>18</v>
      </c>
      <c r="C57" s="18">
        <f>Entry!C58</f>
        <v>42426.34375</v>
      </c>
      <c r="D57" s="40">
        <f>Entry!D58</f>
        <v>4.1430555555562023</v>
      </c>
      <c r="E57" s="32">
        <v>100</v>
      </c>
      <c r="F57" s="32">
        <v>10</v>
      </c>
      <c r="G57" s="45">
        <f>Entry!H58</f>
        <v>4.76</v>
      </c>
      <c r="H57" s="45">
        <f>Entry!I58</f>
        <v>2.83</v>
      </c>
      <c r="I57" s="43">
        <v>1</v>
      </c>
      <c r="J57" s="44">
        <f>Entry!$J$3</f>
        <v>1.9438</v>
      </c>
      <c r="K57" s="36">
        <f t="shared" si="0"/>
        <v>0.47599999999999998</v>
      </c>
      <c r="L57" s="36">
        <f t="shared" si="1"/>
        <v>1.6819787985865724</v>
      </c>
      <c r="M57" s="36">
        <f t="shared" si="5"/>
        <v>0.43366666666666664</v>
      </c>
      <c r="N57" s="36">
        <f t="shared" si="6"/>
        <v>1.6926644120277985</v>
      </c>
      <c r="O57" s="36">
        <f t="shared" si="2"/>
        <v>0.37515339999999997</v>
      </c>
      <c r="P57" s="36">
        <f t="shared" si="3"/>
        <v>8.6926736000000102E-2</v>
      </c>
      <c r="Q57" s="36">
        <f t="shared" si="4"/>
        <v>0.46208013600000009</v>
      </c>
      <c r="R57" s="36">
        <f t="shared" si="7"/>
        <v>0.34470053333333334</v>
      </c>
      <c r="S57" s="37">
        <f t="shared" si="8"/>
        <v>7.383848266666676E-2</v>
      </c>
      <c r="T57">
        <f t="shared" si="9"/>
        <v>0.41853901600000015</v>
      </c>
      <c r="U57">
        <f t="shared" si="10"/>
        <v>2.6390858375076275E-2</v>
      </c>
    </row>
    <row r="58" spans="1:21">
      <c r="A58">
        <f>Entry!B59</f>
        <v>726</v>
      </c>
      <c r="B58" s="1" t="s">
        <v>18</v>
      </c>
      <c r="C58" s="18">
        <f>Entry!C59</f>
        <v>42426.364583333336</v>
      </c>
      <c r="D58" s="40">
        <f>Entry!D59</f>
        <v>4.163888888891961</v>
      </c>
      <c r="E58" s="32">
        <v>100</v>
      </c>
      <c r="F58" s="32">
        <v>10</v>
      </c>
      <c r="G58" s="45">
        <f>Entry!H59</f>
        <v>2.41</v>
      </c>
      <c r="H58" s="45">
        <f>Entry!I59</f>
        <v>1.43</v>
      </c>
      <c r="I58" s="43">
        <v>1</v>
      </c>
      <c r="J58" s="44">
        <f>Entry!$J$3</f>
        <v>1.9438</v>
      </c>
      <c r="K58" s="36">
        <f t="shared" si="0"/>
        <v>0.24100000000000002</v>
      </c>
      <c r="L58" s="36">
        <f t="shared" si="1"/>
        <v>1.6853146853146854</v>
      </c>
      <c r="M58" s="36"/>
      <c r="N58" s="36"/>
      <c r="O58" s="36">
        <f t="shared" si="2"/>
        <v>0.19049240000000003</v>
      </c>
      <c r="P58" s="36">
        <f t="shared" si="3"/>
        <v>4.2996856000000014E-2</v>
      </c>
      <c r="Q58" s="36">
        <f t="shared" si="4"/>
        <v>0.23348925600000003</v>
      </c>
      <c r="R58" s="36"/>
      <c r="S58" s="37"/>
    </row>
    <row r="59" spans="1:21">
      <c r="A59">
        <f>Entry!B60</f>
        <v>726</v>
      </c>
      <c r="B59" s="1" t="s">
        <v>18</v>
      </c>
      <c r="C59" s="18">
        <f>Entry!C60</f>
        <v>42426.364583333336</v>
      </c>
      <c r="D59" s="40">
        <f>Entry!D60</f>
        <v>4.163888888891961</v>
      </c>
      <c r="E59" s="32">
        <v>100</v>
      </c>
      <c r="F59" s="32">
        <v>10</v>
      </c>
      <c r="G59" s="45">
        <f>Entry!H60</f>
        <v>2.44</v>
      </c>
      <c r="H59" s="45">
        <f>Entry!I60</f>
        <v>1.48</v>
      </c>
      <c r="I59" s="43">
        <v>1</v>
      </c>
      <c r="J59" s="44">
        <f>Entry!$J$3</f>
        <v>1.9438</v>
      </c>
      <c r="K59" s="36">
        <f t="shared" si="0"/>
        <v>0.24399999999999999</v>
      </c>
      <c r="L59" s="36">
        <f t="shared" si="1"/>
        <v>1.6486486486486487</v>
      </c>
      <c r="M59" s="36"/>
      <c r="N59" s="36"/>
      <c r="O59" s="36">
        <f t="shared" si="2"/>
        <v>0.18660480000000002</v>
      </c>
      <c r="P59" s="36">
        <f t="shared" si="3"/>
        <v>5.5048416000000072E-2</v>
      </c>
      <c r="Q59" s="36">
        <f t="shared" si="4"/>
        <v>0.24165321600000009</v>
      </c>
      <c r="R59" s="36"/>
      <c r="S59" s="37"/>
    </row>
    <row r="60" spans="1:21">
      <c r="A60">
        <f>Entry!B61</f>
        <v>726</v>
      </c>
      <c r="B60" s="1" t="s">
        <v>18</v>
      </c>
      <c r="C60" s="18">
        <f>Entry!C61</f>
        <v>42426.364583333336</v>
      </c>
      <c r="D60" s="40">
        <f>Entry!D61</f>
        <v>4.163888888891961</v>
      </c>
      <c r="E60" s="32">
        <v>100</v>
      </c>
      <c r="F60" s="32">
        <v>10</v>
      </c>
      <c r="G60" s="45">
        <f>Entry!H61</f>
        <v>2.36</v>
      </c>
      <c r="H60" s="45">
        <f>Entry!I61</f>
        <v>1.4</v>
      </c>
      <c r="I60" s="43">
        <v>1</v>
      </c>
      <c r="J60" s="44">
        <f>Entry!$J$3</f>
        <v>1.9438</v>
      </c>
      <c r="K60" s="36">
        <f t="shared" si="0"/>
        <v>0.23599999999999999</v>
      </c>
      <c r="L60" s="36">
        <f t="shared" si="1"/>
        <v>1.6857142857142857</v>
      </c>
      <c r="M60" s="36"/>
      <c r="N60" s="36"/>
      <c r="O60" s="36">
        <f t="shared" si="2"/>
        <v>0.18660480000000002</v>
      </c>
      <c r="P60" s="36">
        <f t="shared" si="3"/>
        <v>4.1986080000000037E-2</v>
      </c>
      <c r="Q60" s="36">
        <f t="shared" si="4"/>
        <v>0.22859088000000005</v>
      </c>
      <c r="R60" s="36"/>
      <c r="S60" s="37"/>
    </row>
    <row r="61" spans="1:21">
      <c r="A61">
        <f>Entry!B62</f>
        <v>727</v>
      </c>
      <c r="B61" s="1" t="s">
        <v>18</v>
      </c>
      <c r="C61" s="18">
        <f>Entry!C62</f>
        <v>42426.364583333336</v>
      </c>
      <c r="D61" s="40">
        <f>Entry!D62</f>
        <v>4.163888888891961</v>
      </c>
      <c r="E61" s="32">
        <v>100</v>
      </c>
      <c r="F61" s="32">
        <v>10</v>
      </c>
      <c r="G61" s="45">
        <f>Entry!H62</f>
        <v>2.48</v>
      </c>
      <c r="H61" s="45">
        <f>Entry!I62</f>
        <v>1.51</v>
      </c>
      <c r="I61" s="43">
        <v>1</v>
      </c>
      <c r="J61" s="44">
        <f>Entry!$J$3</f>
        <v>1.9438</v>
      </c>
      <c r="K61" s="36">
        <f t="shared" si="0"/>
        <v>0.248</v>
      </c>
      <c r="L61" s="36">
        <f t="shared" si="1"/>
        <v>1.6423841059602649</v>
      </c>
      <c r="M61" s="36"/>
      <c r="N61" s="36"/>
      <c r="O61" s="36">
        <f t="shared" si="2"/>
        <v>0.18854860000000001</v>
      </c>
      <c r="P61" s="36">
        <f t="shared" si="3"/>
        <v>5.8002992000000003E-2</v>
      </c>
      <c r="Q61" s="36">
        <f t="shared" si="4"/>
        <v>0.24655159200000001</v>
      </c>
      <c r="R61" s="36"/>
      <c r="S61" s="37"/>
    </row>
    <row r="62" spans="1:21">
      <c r="A62">
        <f>Entry!B63</f>
        <v>728</v>
      </c>
      <c r="B62" s="1" t="s">
        <v>18</v>
      </c>
      <c r="C62" s="18">
        <f>Entry!C63</f>
        <v>42426.364583333336</v>
      </c>
      <c r="D62" s="40">
        <f>Entry!D63</f>
        <v>4.163888888891961</v>
      </c>
      <c r="E62" s="32">
        <v>100</v>
      </c>
      <c r="F62" s="32">
        <v>10</v>
      </c>
      <c r="G62" s="45">
        <f>Entry!H63</f>
        <v>1.54</v>
      </c>
      <c r="H62" s="45">
        <f>Entry!I63</f>
        <v>0.92200000000000004</v>
      </c>
      <c r="I62" s="43">
        <v>1</v>
      </c>
      <c r="J62" s="44">
        <f>Entry!$J$3</f>
        <v>1.9438</v>
      </c>
      <c r="K62" s="36">
        <f t="shared" si="0"/>
        <v>0.15400000000000003</v>
      </c>
      <c r="L62" s="36">
        <f t="shared" si="1"/>
        <v>1.6702819956616051</v>
      </c>
      <c r="M62" s="36">
        <f t="shared" si="5"/>
        <v>0.21266666666666667</v>
      </c>
      <c r="N62" s="36">
        <f t="shared" si="6"/>
        <v>1.6661267957787185</v>
      </c>
      <c r="O62" s="36">
        <f t="shared" si="2"/>
        <v>0.12012684000000001</v>
      </c>
      <c r="P62" s="36">
        <f t="shared" si="3"/>
        <v>3.0416582400000038E-2</v>
      </c>
      <c r="Q62" s="36">
        <f t="shared" si="4"/>
        <v>0.15054342240000004</v>
      </c>
      <c r="R62" s="36">
        <f t="shared" si="7"/>
        <v>0.16509341333333336</v>
      </c>
      <c r="S62" s="37">
        <f t="shared" si="8"/>
        <v>4.3468551466666693E-2</v>
      </c>
      <c r="T62">
        <f t="shared" si="9"/>
        <v>0.20856196480000003</v>
      </c>
      <c r="U62">
        <f t="shared" si="10"/>
        <v>3.895432103909053E-2</v>
      </c>
    </row>
    <row r="63" spans="1:21">
      <c r="A63">
        <f>Entry!B64</f>
        <v>729</v>
      </c>
      <c r="B63" s="1" t="s">
        <v>18</v>
      </c>
      <c r="C63" s="18">
        <f>Entry!C64</f>
        <v>42426.385416666664</v>
      </c>
      <c r="D63" s="40">
        <f>Entry!D64</f>
        <v>4.1847222222204437</v>
      </c>
      <c r="E63" s="32">
        <v>100</v>
      </c>
      <c r="F63" s="32">
        <v>10</v>
      </c>
      <c r="G63" s="45">
        <f>Entry!H64</f>
        <v>1.91</v>
      </c>
      <c r="H63" s="45">
        <f>Entry!I64</f>
        <v>1.1299999999999999</v>
      </c>
      <c r="I63" s="43">
        <v>1</v>
      </c>
      <c r="J63" s="44">
        <f>Entry!$J$3</f>
        <v>1.9438</v>
      </c>
      <c r="K63" s="36">
        <f t="shared" si="0"/>
        <v>0.191</v>
      </c>
      <c r="L63" s="36">
        <f t="shared" si="1"/>
        <v>1.6902654867256639</v>
      </c>
      <c r="M63" s="36"/>
      <c r="N63" s="36"/>
      <c r="O63" s="36">
        <f t="shared" si="2"/>
        <v>0.15161640000000001</v>
      </c>
      <c r="P63" s="36">
        <f t="shared" si="3"/>
        <v>3.2889095999999965E-2</v>
      </c>
      <c r="Q63" s="36">
        <f t="shared" si="4"/>
        <v>0.18450549599999999</v>
      </c>
      <c r="R63" s="36"/>
      <c r="S63" s="37"/>
    </row>
    <row r="64" spans="1:21">
      <c r="A64">
        <f>Entry!B65</f>
        <v>729</v>
      </c>
      <c r="B64" s="1" t="s">
        <v>18</v>
      </c>
      <c r="C64" s="18">
        <f>Entry!C65</f>
        <v>42426.385416666664</v>
      </c>
      <c r="D64" s="40">
        <f>Entry!D65</f>
        <v>4.1847222222204437</v>
      </c>
      <c r="E64" s="32">
        <v>100</v>
      </c>
      <c r="F64" s="32">
        <v>10</v>
      </c>
      <c r="G64" s="45">
        <f>Entry!H65</f>
        <v>2.02</v>
      </c>
      <c r="H64" s="45">
        <f>Entry!I65</f>
        <v>1.2</v>
      </c>
      <c r="I64" s="43">
        <v>1</v>
      </c>
      <c r="J64" s="44">
        <f>Entry!$J$3</f>
        <v>1.9438</v>
      </c>
      <c r="K64" s="36">
        <f t="shared" si="0"/>
        <v>0.20200000000000001</v>
      </c>
      <c r="L64" s="36">
        <f t="shared" si="1"/>
        <v>1.6833333333333333</v>
      </c>
      <c r="M64" s="36"/>
      <c r="N64" s="36"/>
      <c r="O64" s="36">
        <f t="shared" si="2"/>
        <v>0.15939160000000002</v>
      </c>
      <c r="P64" s="36">
        <f t="shared" si="3"/>
        <v>3.6543440000000031E-2</v>
      </c>
      <c r="Q64" s="36">
        <f t="shared" si="4"/>
        <v>0.19593504000000006</v>
      </c>
      <c r="R64" s="36"/>
      <c r="S64" s="37"/>
    </row>
    <row r="65" spans="1:21">
      <c r="A65">
        <f>Entry!B66</f>
        <v>729</v>
      </c>
      <c r="B65" s="1" t="s">
        <v>18</v>
      </c>
      <c r="C65" s="18">
        <f>Entry!C66</f>
        <v>42426.385416666664</v>
      </c>
      <c r="D65" s="40">
        <f>Entry!D66</f>
        <v>4.1847222222204437</v>
      </c>
      <c r="E65" s="32">
        <v>100</v>
      </c>
      <c r="F65" s="32">
        <v>10</v>
      </c>
      <c r="G65" s="45">
        <f>Entry!H66</f>
        <v>2.0099999999999998</v>
      </c>
      <c r="H65" s="45">
        <f>Entry!I66</f>
        <v>1.18</v>
      </c>
      <c r="I65" s="43">
        <v>1</v>
      </c>
      <c r="J65" s="44">
        <f>Entry!$J$3</f>
        <v>1.9438</v>
      </c>
      <c r="K65" s="36">
        <f t="shared" si="0"/>
        <v>0.20099999999999998</v>
      </c>
      <c r="L65" s="36">
        <f t="shared" si="1"/>
        <v>1.7033898305084745</v>
      </c>
      <c r="M65" s="36"/>
      <c r="N65" s="36"/>
      <c r="O65" s="36">
        <f t="shared" si="2"/>
        <v>0.16133539999999999</v>
      </c>
      <c r="P65" s="36">
        <f t="shared" si="3"/>
        <v>3.1334055999999999E-2</v>
      </c>
      <c r="Q65" s="36">
        <f t="shared" si="4"/>
        <v>0.19266945599999999</v>
      </c>
      <c r="R65" s="36"/>
      <c r="S65" s="37"/>
    </row>
    <row r="66" spans="1:21">
      <c r="A66">
        <f>Entry!B67</f>
        <v>730</v>
      </c>
      <c r="B66" s="1" t="s">
        <v>18</v>
      </c>
      <c r="C66" s="18">
        <f>Entry!C67</f>
        <v>42426.385416666664</v>
      </c>
      <c r="D66" s="40">
        <f>Entry!D67</f>
        <v>4.1847222222204437</v>
      </c>
      <c r="E66" s="32">
        <v>100</v>
      </c>
      <c r="F66" s="32">
        <v>10</v>
      </c>
      <c r="G66" s="45">
        <f>Entry!H67</f>
        <v>1.49</v>
      </c>
      <c r="H66" s="45">
        <f>Entry!I67</f>
        <v>0.86599999999999999</v>
      </c>
      <c r="I66" s="43">
        <v>1</v>
      </c>
      <c r="J66" s="44">
        <f>Entry!$J$3</f>
        <v>1.9438</v>
      </c>
      <c r="K66" s="36">
        <f t="shared" ref="K66:K77" si="11">G66*(F66/E66)*I66</f>
        <v>0.14899999999999999</v>
      </c>
      <c r="L66" s="36">
        <f t="shared" ref="L66:L77" si="12">G66/H66</f>
        <v>1.7205542725173211</v>
      </c>
      <c r="M66" s="36"/>
      <c r="N66" s="36"/>
      <c r="O66" s="36">
        <f t="shared" ref="O66:O77" si="13">(G66-H66)*J66*(F66/E66)*I66</f>
        <v>0.12129311999999999</v>
      </c>
      <c r="P66" s="36">
        <f t="shared" ref="P66:P77" si="14">J66*(1.84*H66-G66)*(F66/E66)*I66</f>
        <v>2.0106667199999997E-2</v>
      </c>
      <c r="Q66" s="36">
        <f t="shared" ref="Q66:Q77" si="15">O66+P66</f>
        <v>0.14139978719999999</v>
      </c>
      <c r="R66" s="36"/>
      <c r="S66" s="37"/>
    </row>
    <row r="67" spans="1:21">
      <c r="A67">
        <f>Entry!B68</f>
        <v>731</v>
      </c>
      <c r="B67" s="1" t="s">
        <v>18</v>
      </c>
      <c r="C67" s="18">
        <f>Entry!C68</f>
        <v>42426.385416666664</v>
      </c>
      <c r="D67" s="40">
        <f>Entry!D68</f>
        <v>4.1847222222204437</v>
      </c>
      <c r="E67" s="32">
        <v>100</v>
      </c>
      <c r="F67" s="32">
        <v>10</v>
      </c>
      <c r="G67" s="45">
        <f>Entry!H68</f>
        <v>1.29</v>
      </c>
      <c r="H67" s="45">
        <f>Entry!I68</f>
        <v>0.76200000000000001</v>
      </c>
      <c r="I67" s="43">
        <v>1</v>
      </c>
      <c r="J67" s="44">
        <f>Entry!$J$3</f>
        <v>1.9438</v>
      </c>
      <c r="K67" s="36">
        <f t="shared" si="11"/>
        <v>0.129</v>
      </c>
      <c r="L67" s="36">
        <f t="shared" si="12"/>
        <v>1.6929133858267718</v>
      </c>
      <c r="M67" s="36">
        <f t="shared" si="5"/>
        <v>0.15966666666666665</v>
      </c>
      <c r="N67" s="36">
        <f t="shared" si="6"/>
        <v>1.7056191629508557</v>
      </c>
      <c r="O67" s="36">
        <f t="shared" si="13"/>
        <v>0.10263264000000001</v>
      </c>
      <c r="P67" s="36">
        <f t="shared" si="14"/>
        <v>2.1786110399999992E-2</v>
      </c>
      <c r="Q67" s="36">
        <f t="shared" si="15"/>
        <v>0.1244187504</v>
      </c>
      <c r="R67" s="36">
        <f t="shared" si="7"/>
        <v>0.12842038666666666</v>
      </c>
      <c r="S67" s="37">
        <f t="shared" si="8"/>
        <v>2.4408944533333327E-2</v>
      </c>
      <c r="T67">
        <f t="shared" si="9"/>
        <v>0.1528293312</v>
      </c>
      <c r="U67">
        <f t="shared" si="10"/>
        <v>2.999336519145079E-2</v>
      </c>
    </row>
    <row r="68" spans="1:21">
      <c r="A68">
        <f>Entry!B69</f>
        <v>732</v>
      </c>
      <c r="B68" s="1" t="s">
        <v>18</v>
      </c>
      <c r="C68" s="18">
        <f>Entry!C69</f>
        <v>42426.40625</v>
      </c>
      <c r="D68" s="40">
        <f>Entry!D69</f>
        <v>4.2055555555562023</v>
      </c>
      <c r="E68" s="32">
        <v>100</v>
      </c>
      <c r="F68" s="32">
        <v>10</v>
      </c>
      <c r="G68" s="45">
        <f>Entry!H69</f>
        <v>1.43</v>
      </c>
      <c r="H68" s="45">
        <f>Entry!I69</f>
        <v>0.83499999999999996</v>
      </c>
      <c r="I68" s="43">
        <v>1</v>
      </c>
      <c r="J68" s="44">
        <f>Entry!$J$3</f>
        <v>1.9438</v>
      </c>
      <c r="K68" s="36">
        <f t="shared" si="11"/>
        <v>0.14299999999999999</v>
      </c>
      <c r="L68" s="36">
        <f t="shared" si="12"/>
        <v>1.7125748502994012</v>
      </c>
      <c r="M68" s="36"/>
      <c r="N68" s="36"/>
      <c r="O68" s="36">
        <f t="shared" si="13"/>
        <v>0.1156561</v>
      </c>
      <c r="P68" s="36">
        <f t="shared" si="14"/>
        <v>2.068203200000001E-2</v>
      </c>
      <c r="Q68" s="36">
        <f t="shared" si="15"/>
        <v>0.136338132</v>
      </c>
      <c r="R68" s="36"/>
      <c r="S68" s="37"/>
    </row>
    <row r="69" spans="1:21">
      <c r="A69">
        <f>Entry!B70</f>
        <v>732</v>
      </c>
      <c r="B69" s="1" t="s">
        <v>18</v>
      </c>
      <c r="C69" s="18">
        <f>Entry!C70</f>
        <v>42426.40625</v>
      </c>
      <c r="D69" s="40">
        <f>Entry!D70</f>
        <v>4.2055555555562023</v>
      </c>
      <c r="E69" s="32">
        <v>100</v>
      </c>
      <c r="F69" s="32">
        <v>10</v>
      </c>
      <c r="G69" s="45">
        <f>Entry!H70</f>
        <v>1.51</v>
      </c>
      <c r="H69" s="45">
        <f>Entry!I70</f>
        <v>0.89200000000000002</v>
      </c>
      <c r="I69" s="43">
        <v>1</v>
      </c>
      <c r="J69" s="44">
        <f>Entry!$J$3</f>
        <v>1.9438</v>
      </c>
      <c r="K69" s="36">
        <f t="shared" si="11"/>
        <v>0.15100000000000002</v>
      </c>
      <c r="L69" s="36">
        <f t="shared" si="12"/>
        <v>1.6928251121076232</v>
      </c>
      <c r="M69" s="36"/>
      <c r="N69" s="36"/>
      <c r="O69" s="36">
        <f t="shared" si="13"/>
        <v>0.12012684000000001</v>
      </c>
      <c r="P69" s="36">
        <f t="shared" si="14"/>
        <v>2.551820640000001E-2</v>
      </c>
      <c r="Q69" s="36">
        <f t="shared" si="15"/>
        <v>0.14564504640000003</v>
      </c>
      <c r="R69" s="36"/>
      <c r="S69" s="37"/>
    </row>
    <row r="70" spans="1:21">
      <c r="A70">
        <f>Entry!B71</f>
        <v>732</v>
      </c>
      <c r="B70" s="1" t="s">
        <v>18</v>
      </c>
      <c r="C70" s="18">
        <f>Entry!C71</f>
        <v>42426.40625</v>
      </c>
      <c r="D70" s="40">
        <f>Entry!D71</f>
        <v>4.2055555555562023</v>
      </c>
      <c r="E70" s="32">
        <v>100</v>
      </c>
      <c r="F70" s="32">
        <v>10</v>
      </c>
      <c r="G70" s="45">
        <f>Entry!H71</f>
        <v>1.54</v>
      </c>
      <c r="H70" s="45">
        <f>Entry!I71</f>
        <v>0.93100000000000005</v>
      </c>
      <c r="I70" s="43">
        <v>1</v>
      </c>
      <c r="J70" s="44">
        <f>Entry!$J$3</f>
        <v>1.9438</v>
      </c>
      <c r="K70" s="36">
        <f t="shared" si="11"/>
        <v>0.15400000000000003</v>
      </c>
      <c r="L70" s="36">
        <f t="shared" si="12"/>
        <v>1.6541353383458646</v>
      </c>
      <c r="M70" s="36"/>
      <c r="N70" s="36"/>
      <c r="O70" s="36">
        <f t="shared" si="13"/>
        <v>0.11837742000000001</v>
      </c>
      <c r="P70" s="36">
        <f t="shared" si="14"/>
        <v>3.3635515200000014E-2</v>
      </c>
      <c r="Q70" s="36">
        <f t="shared" si="15"/>
        <v>0.15201293520000003</v>
      </c>
      <c r="R70" s="36"/>
      <c r="S70" s="37"/>
    </row>
    <row r="71" spans="1:21">
      <c r="A71">
        <f>Entry!B72</f>
        <v>733</v>
      </c>
      <c r="B71" s="1" t="s">
        <v>18</v>
      </c>
      <c r="C71" s="18">
        <f>Entry!C72</f>
        <v>42426.40625</v>
      </c>
      <c r="D71" s="40">
        <f>Entry!D72</f>
        <v>4.2055555555562023</v>
      </c>
      <c r="E71" s="32">
        <v>100</v>
      </c>
      <c r="F71" s="32">
        <v>10</v>
      </c>
      <c r="G71" s="45">
        <f>Entry!H72</f>
        <v>1.54</v>
      </c>
      <c r="H71" s="45">
        <f>Entry!I72</f>
        <v>0.89200000000000002</v>
      </c>
      <c r="I71" s="43">
        <v>1</v>
      </c>
      <c r="J71" s="44">
        <f>Entry!$J$3</f>
        <v>1.9438</v>
      </c>
      <c r="K71" s="36">
        <f t="shared" si="11"/>
        <v>0.15400000000000003</v>
      </c>
      <c r="L71" s="36">
        <f t="shared" si="12"/>
        <v>1.7264573991031391</v>
      </c>
      <c r="M71" s="36"/>
      <c r="N71" s="36"/>
      <c r="O71" s="36">
        <f t="shared" si="13"/>
        <v>0.12595824</v>
      </c>
      <c r="P71" s="36">
        <f t="shared" si="14"/>
        <v>1.9686806400000006E-2</v>
      </c>
      <c r="Q71" s="36">
        <f t="shared" si="15"/>
        <v>0.14564504640000001</v>
      </c>
      <c r="R71" s="36"/>
      <c r="S71" s="37"/>
    </row>
    <row r="72" spans="1:21">
      <c r="A72">
        <f>Entry!B73</f>
        <v>734</v>
      </c>
      <c r="B72" s="1" t="s">
        <v>18</v>
      </c>
      <c r="C72" s="18">
        <f>Entry!C73</f>
        <v>42426.40625</v>
      </c>
      <c r="D72" s="40">
        <f>Entry!D73</f>
        <v>4.2055555555562023</v>
      </c>
      <c r="E72" s="32">
        <v>100</v>
      </c>
      <c r="F72" s="32">
        <v>10</v>
      </c>
      <c r="G72" s="45">
        <f>Entry!H73</f>
        <v>1.34</v>
      </c>
      <c r="H72" s="45">
        <f>Entry!I73</f>
        <v>0.79400000000000004</v>
      </c>
      <c r="I72" s="43">
        <v>1</v>
      </c>
      <c r="J72" s="44">
        <f>Entry!$J$3</f>
        <v>1.9438</v>
      </c>
      <c r="K72" s="36">
        <f t="shared" si="11"/>
        <v>0.13400000000000001</v>
      </c>
      <c r="L72" s="36">
        <f t="shared" si="12"/>
        <v>1.6876574307304786</v>
      </c>
      <c r="M72" s="36">
        <f t="shared" ref="M71:N77" si="16">(K70+K71+K72)/3</f>
        <v>0.14733333333333334</v>
      </c>
      <c r="N72" s="36">
        <f t="shared" si="16"/>
        <v>1.689416722726494</v>
      </c>
      <c r="O72" s="36">
        <f t="shared" si="13"/>
        <v>0.10613148000000001</v>
      </c>
      <c r="P72" s="36">
        <f t="shared" si="14"/>
        <v>2.3512204799999992E-2</v>
      </c>
      <c r="Q72" s="36">
        <f t="shared" si="15"/>
        <v>0.12964368479999999</v>
      </c>
      <c r="R72" s="36">
        <f t="shared" ref="R71:T77" si="17">(O70+O71+O72)/3</f>
        <v>0.11682238</v>
      </c>
      <c r="S72" s="37">
        <f t="shared" si="17"/>
        <v>2.5611508800000005E-2</v>
      </c>
      <c r="T72">
        <f t="shared" si="17"/>
        <v>0.14243388879999999</v>
      </c>
      <c r="U72">
        <f t="shared" ref="U71:U77" si="18">STDEV(O70:O72)</f>
        <v>1.0004434770420558E-2</v>
      </c>
    </row>
    <row r="73" spans="1:21">
      <c r="A73">
        <f>Entry!B74</f>
        <v>735</v>
      </c>
      <c r="B73" s="1" t="s">
        <v>18</v>
      </c>
      <c r="C73" s="18">
        <f>Entry!C74</f>
        <v>42426.416666666664</v>
      </c>
      <c r="D73" s="40">
        <f>Entry!D74</f>
        <v>4.2159722222204437</v>
      </c>
      <c r="E73" s="32">
        <v>100</v>
      </c>
      <c r="F73" s="32">
        <v>10</v>
      </c>
      <c r="G73" s="45">
        <f>Entry!H74</f>
        <v>1.4</v>
      </c>
      <c r="H73" s="45">
        <f>Entry!I74</f>
        <v>0.83299999999999996</v>
      </c>
      <c r="I73" s="43">
        <v>1</v>
      </c>
      <c r="J73" s="44">
        <f>Entry!$J$3</f>
        <v>1.9438</v>
      </c>
      <c r="K73" s="36">
        <f t="shared" si="11"/>
        <v>0.13999999999999999</v>
      </c>
      <c r="L73" s="36">
        <f t="shared" si="12"/>
        <v>1.680672268907563</v>
      </c>
      <c r="M73" s="36"/>
      <c r="N73" s="36"/>
      <c r="O73" s="36">
        <f t="shared" si="13"/>
        <v>0.11021345999999999</v>
      </c>
      <c r="P73" s="36">
        <f t="shared" si="14"/>
        <v>2.5798113600000033E-2</v>
      </c>
      <c r="Q73" s="36">
        <f t="shared" si="15"/>
        <v>0.13601157360000002</v>
      </c>
      <c r="R73" s="36"/>
      <c r="S73" s="37"/>
    </row>
    <row r="74" spans="1:21">
      <c r="A74">
        <f>Entry!B75</f>
        <v>735</v>
      </c>
      <c r="B74" s="1" t="s">
        <v>18</v>
      </c>
      <c r="C74" s="18">
        <f>Entry!C75</f>
        <v>42426.416666666664</v>
      </c>
      <c r="D74" s="40">
        <f>Entry!D75</f>
        <v>4.2159722222204437</v>
      </c>
      <c r="E74" s="32">
        <v>100</v>
      </c>
      <c r="F74" s="32">
        <v>10</v>
      </c>
      <c r="G74" s="45">
        <f>Entry!H75</f>
        <v>1.51</v>
      </c>
      <c r="H74" s="45">
        <f>Entry!I75</f>
        <v>0.91100000000000003</v>
      </c>
      <c r="I74" s="43">
        <v>1</v>
      </c>
      <c r="J74" s="44">
        <f>Entry!$J$3</f>
        <v>1.9438</v>
      </c>
      <c r="K74" s="36">
        <f t="shared" si="11"/>
        <v>0.15100000000000002</v>
      </c>
      <c r="L74" s="36">
        <f t="shared" si="12"/>
        <v>1.6575192096597144</v>
      </c>
      <c r="M74" s="36"/>
      <c r="N74" s="36"/>
      <c r="O74" s="36">
        <f t="shared" si="13"/>
        <v>0.11643362</v>
      </c>
      <c r="P74" s="36">
        <f t="shared" si="14"/>
        <v>3.2313731200000036E-2</v>
      </c>
      <c r="Q74" s="36">
        <f t="shared" si="15"/>
        <v>0.14874735120000004</v>
      </c>
      <c r="R74" s="36"/>
      <c r="S74" s="37"/>
    </row>
    <row r="75" spans="1:21">
      <c r="A75">
        <f>Entry!B76</f>
        <v>735</v>
      </c>
      <c r="B75" s="1" t="s">
        <v>18</v>
      </c>
      <c r="C75" s="18">
        <f>Entry!C76</f>
        <v>42426.416666666664</v>
      </c>
      <c r="D75" s="40">
        <f>Entry!D76</f>
        <v>4.2159722222204437</v>
      </c>
      <c r="E75" s="32">
        <v>100</v>
      </c>
      <c r="F75" s="32">
        <v>10</v>
      </c>
      <c r="G75" s="45">
        <f>Entry!H76</f>
        <v>1.49</v>
      </c>
      <c r="H75" s="45">
        <f>Entry!I76</f>
        <v>0.85799999999999998</v>
      </c>
      <c r="I75" s="43">
        <v>1</v>
      </c>
      <c r="J75" s="44">
        <f>Entry!$J$3</f>
        <v>1.9438</v>
      </c>
      <c r="K75" s="36">
        <f t="shared" si="11"/>
        <v>0.14899999999999999</v>
      </c>
      <c r="L75" s="36">
        <f t="shared" si="12"/>
        <v>1.7365967365967365</v>
      </c>
      <c r="M75" s="36"/>
      <c r="N75" s="36"/>
      <c r="O75" s="36">
        <f t="shared" si="13"/>
        <v>0.12284816000000001</v>
      </c>
      <c r="P75" s="36">
        <f t="shared" si="14"/>
        <v>1.7245393600000027E-2</v>
      </c>
      <c r="Q75" s="36">
        <f t="shared" si="15"/>
        <v>0.14009355360000003</v>
      </c>
      <c r="R75" s="36"/>
      <c r="S75" s="37"/>
    </row>
    <row r="76" spans="1:21">
      <c r="A76">
        <f>Entry!B77</f>
        <v>736</v>
      </c>
      <c r="B76" s="1" t="s">
        <v>18</v>
      </c>
      <c r="C76" s="18">
        <f>Entry!C77</f>
        <v>42426.416666666664</v>
      </c>
      <c r="D76" s="40">
        <f>Entry!D77</f>
        <v>4.2159722222204437</v>
      </c>
      <c r="E76" s="32">
        <v>100</v>
      </c>
      <c r="F76" s="32">
        <v>10</v>
      </c>
      <c r="G76" s="45">
        <f>Entry!H77</f>
        <v>1.53</v>
      </c>
      <c r="H76" s="45">
        <f>Entry!I77</f>
        <v>0.88900000000000001</v>
      </c>
      <c r="I76" s="43">
        <v>1</v>
      </c>
      <c r="J76" s="44">
        <f>Entry!$J$3</f>
        <v>1.9438</v>
      </c>
      <c r="K76" s="36">
        <f t="shared" si="11"/>
        <v>0.15300000000000002</v>
      </c>
      <c r="L76" s="36">
        <f t="shared" si="12"/>
        <v>1.7210348706411698</v>
      </c>
      <c r="M76" s="36"/>
      <c r="N76" s="36"/>
      <c r="O76" s="36">
        <f t="shared" si="13"/>
        <v>0.12459758000000001</v>
      </c>
      <c r="P76" s="36">
        <f t="shared" si="14"/>
        <v>2.0557628800000016E-2</v>
      </c>
      <c r="Q76" s="36">
        <f t="shared" si="15"/>
        <v>0.14515520880000002</v>
      </c>
      <c r="R76" s="36"/>
      <c r="S76" s="37"/>
    </row>
    <row r="77" spans="1:21">
      <c r="A77">
        <f>Entry!B78</f>
        <v>737</v>
      </c>
      <c r="B77" s="1" t="s">
        <v>18</v>
      </c>
      <c r="C77" s="18">
        <f>Entry!C78</f>
        <v>42426.416666666664</v>
      </c>
      <c r="D77" s="40">
        <f>Entry!D78</f>
        <v>4.2159722222204437</v>
      </c>
      <c r="E77" s="32">
        <v>100</v>
      </c>
      <c r="F77" s="32">
        <v>10</v>
      </c>
      <c r="G77" s="45">
        <f>Entry!H78</f>
        <v>1.53</v>
      </c>
      <c r="H77" s="45">
        <f>Entry!I78</f>
        <v>0.89500000000000002</v>
      </c>
      <c r="I77" s="43">
        <v>1</v>
      </c>
      <c r="J77" s="44">
        <f>Entry!$J$3</f>
        <v>1.9438</v>
      </c>
      <c r="K77" s="36">
        <f t="shared" si="11"/>
        <v>0.15300000000000002</v>
      </c>
      <c r="L77" s="36">
        <f t="shared" si="12"/>
        <v>1.7094972067039107</v>
      </c>
      <c r="M77" s="36">
        <f t="shared" si="16"/>
        <v>0.1516666666666667</v>
      </c>
      <c r="N77" s="36">
        <f t="shared" si="16"/>
        <v>1.722376271313939</v>
      </c>
      <c r="O77" s="36">
        <f t="shared" si="13"/>
        <v>0.12343130000000001</v>
      </c>
      <c r="P77" s="36">
        <f t="shared" si="14"/>
        <v>2.2703584000000002E-2</v>
      </c>
      <c r="Q77" s="36">
        <f t="shared" si="15"/>
        <v>0.14613488400000002</v>
      </c>
      <c r="R77" s="36">
        <f t="shared" si="17"/>
        <v>0.12362568000000002</v>
      </c>
      <c r="S77" s="37">
        <f t="shared" si="17"/>
        <v>2.0168868800000014E-2</v>
      </c>
      <c r="T77">
        <f t="shared" si="17"/>
        <v>0.14379454880000003</v>
      </c>
      <c r="U77">
        <f t="shared" si="18"/>
        <v>8.907610635855175E-4</v>
      </c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23" customWidth="1"/>
    <col min="2" max="2" width="9.1796875" style="24" customWidth="1"/>
    <col min="3" max="6" width="9.1796875" style="25" customWidth="1"/>
  </cols>
  <sheetData>
    <row r="1" spans="1:6">
      <c r="A1" s="23" t="s">
        <v>24</v>
      </c>
    </row>
    <row r="2" spans="1:6">
      <c r="A2" s="23" t="s">
        <v>25</v>
      </c>
    </row>
    <row r="3" spans="1:6">
      <c r="A3" s="23" t="s">
        <v>26</v>
      </c>
    </row>
    <row r="4" spans="1:6">
      <c r="A4" s="23" t="s">
        <v>27</v>
      </c>
    </row>
    <row r="5" spans="1:6">
      <c r="A5" s="23" t="s">
        <v>28</v>
      </c>
    </row>
    <row r="6" spans="1:6">
      <c r="A6" s="23" t="str">
        <f>CONCATENATE("/cruise=s",TEXT(Results!$C$2,"yymmdd"),"w")</f>
        <v>/cruise=s200223w</v>
      </c>
    </row>
    <row r="7" spans="1:6">
      <c r="A7" s="23" t="s">
        <v>29</v>
      </c>
    </row>
    <row r="8" spans="1:6">
      <c r="A8" s="25" t="e">
        <f>CONCATENATE("/east_longitude=",TEXT(MAX(Results!#REF!),"0.0000"),"[DEG]")</f>
        <v>#REF!</v>
      </c>
      <c r="F8"/>
    </row>
    <row r="9" spans="1:6">
      <c r="A9" s="25" t="e">
        <f>CONCATENATE("/west_longitude=",TEXT(MIN(Results!#REF!),"0.0000"),"[DEG]")</f>
        <v>#REF!</v>
      </c>
      <c r="F9"/>
    </row>
    <row r="10" spans="1:6">
      <c r="A10" s="25" t="e">
        <f>CONCATENATE("/north_latitude=",TEXT(MAX(Results!#REF!),"0.0000"),"[DEG]")</f>
        <v>#REF!</v>
      </c>
      <c r="F10"/>
    </row>
    <row r="11" spans="1:6">
      <c r="A11" s="25" t="e">
        <f>CONCATENATE("/south_latitude=",TEXT(MIN(Results!#REF!),"0.0000"),"[DEG]")</f>
        <v>#REF!</v>
      </c>
      <c r="F11"/>
    </row>
    <row r="12" spans="1:6">
      <c r="A12" s="25" t="str">
        <f>CONCATENATE("/start_date=",TEXT(MIN(Results!$C$2:$C$10),"yyyymmdd"))</f>
        <v>/start_date=20200223</v>
      </c>
      <c r="F12"/>
    </row>
    <row r="13" spans="1:6">
      <c r="A13" s="25" t="str">
        <f>CONCATENATE("/end_date=",TEXT(MAX(Results!$C$2:$C$10),"yyyymmdd"))</f>
        <v>/end_date=20200223</v>
      </c>
      <c r="F13"/>
    </row>
    <row r="14" spans="1:6">
      <c r="A14" s="25" t="str">
        <f>CONCATENATE("/start_time=",TEXT(MIN(Results!$D$2:$D$10)+4/24,"hh:mm:ss"),"[GMT]")</f>
        <v>/start_time=04:00:00[GMT]</v>
      </c>
      <c r="F14"/>
    </row>
    <row r="15" spans="1:6">
      <c r="A15" s="25" t="str">
        <f>CONCATENATE("/end_time=",TEXT(MAX(Results!$D$2:$D$10)+4/24,"hh:mm:ss"),"[GMT]")</f>
        <v>/end_time=04:17:00[GMT]</v>
      </c>
      <c r="F15"/>
    </row>
    <row r="16" spans="1:6">
      <c r="A16" s="23" t="s">
        <v>30</v>
      </c>
      <c r="F16"/>
    </row>
    <row r="17" spans="1:6">
      <c r="A17" s="23" t="s">
        <v>31</v>
      </c>
    </row>
    <row r="18" spans="1:6">
      <c r="A18" s="23" t="s">
        <v>32</v>
      </c>
    </row>
    <row r="19" spans="1:6">
      <c r="A19" s="23" t="s">
        <v>33</v>
      </c>
    </row>
    <row r="20" spans="1:6">
      <c r="A20" s="25" t="str">
        <f>CONCATENATE("/data_file_name=chl-s",TEXT($A$32,"yymmdd"),"w.xls")</f>
        <v>/data_file_name=chl-s200223w.xls</v>
      </c>
    </row>
    <row r="21" spans="1:6">
      <c r="A21" s="23" t="s">
        <v>34</v>
      </c>
    </row>
    <row r="22" spans="1:6">
      <c r="A22" s="23" t="s">
        <v>35</v>
      </c>
    </row>
    <row r="23" spans="1:6">
      <c r="A23" s="23" t="s">
        <v>36</v>
      </c>
    </row>
    <row r="24" spans="1:6">
      <c r="A24" s="23" t="s">
        <v>37</v>
      </c>
    </row>
    <row r="25" spans="1:6">
      <c r="A25" s="23" t="s">
        <v>38</v>
      </c>
    </row>
    <row r="26" spans="1:6">
      <c r="A26" s="23" t="s">
        <v>39</v>
      </c>
    </row>
    <row r="27" spans="1:6">
      <c r="A27" s="23" t="s">
        <v>40</v>
      </c>
    </row>
    <row r="28" spans="1:6">
      <c r="A28" s="23" t="s">
        <v>41</v>
      </c>
    </row>
    <row r="29" spans="1:6">
      <c r="A29" s="23" t="s">
        <v>42</v>
      </c>
    </row>
    <row r="30" spans="1:6">
      <c r="A30" s="23" t="s">
        <v>43</v>
      </c>
    </row>
    <row r="31" spans="1:6">
      <c r="A31" s="23" t="s">
        <v>44</v>
      </c>
    </row>
    <row r="32" spans="1:6">
      <c r="A32" s="23">
        <f>Results!C2</f>
        <v>42422.200694444444</v>
      </c>
      <c r="B32" s="24">
        <f>Results!D2+4/24</f>
        <v>0.16666666666666666</v>
      </c>
      <c r="C32" s="25" t="e">
        <f>Results!#REF!</f>
        <v>#REF!</v>
      </c>
      <c r="D32" s="25" t="e">
        <f>Results!#REF!</f>
        <v>#REF!</v>
      </c>
      <c r="E32" s="25">
        <f>Results!K2</f>
        <v>0.23900000000000002</v>
      </c>
      <c r="F32" s="25" t="str">
        <f>LEFT(Results!A2,LEN(Results!A2)-1)</f>
        <v>599</v>
      </c>
    </row>
    <row r="33" spans="1:6">
      <c r="A33" s="23" t="e">
        <f>Results!#REF!</f>
        <v>#REF!</v>
      </c>
      <c r="B33" s="24" t="e">
        <f>Results!#REF!+4/24</f>
        <v>#REF!</v>
      </c>
      <c r="C33" s="25" t="e">
        <f>Results!#REF!</f>
        <v>#REF!</v>
      </c>
      <c r="D33" s="25" t="e">
        <f>Results!#REF!</f>
        <v>#REF!</v>
      </c>
      <c r="E33" s="25" t="e">
        <f>Results!#REF!</f>
        <v>#REF!</v>
      </c>
      <c r="F33" s="25" t="e">
        <f>LEFT(Results!#REF!,LEN(Results!#REF!)-1)</f>
        <v>#REF!</v>
      </c>
    </row>
    <row r="34" spans="1:6">
      <c r="A34" s="23" t="e">
        <f>Results!#REF!</f>
        <v>#REF!</v>
      </c>
      <c r="B34" s="24" t="e">
        <f>Results!#REF!+4/24</f>
        <v>#REF!</v>
      </c>
      <c r="C34" s="25" t="e">
        <f>Results!#REF!</f>
        <v>#REF!</v>
      </c>
      <c r="D34" s="25" t="e">
        <f>Results!#REF!</f>
        <v>#REF!</v>
      </c>
      <c r="E34" s="25" t="e">
        <f>Results!#REF!</f>
        <v>#REF!</v>
      </c>
      <c r="F34" s="25" t="e">
        <f>LEFT(Results!#REF!,LEN(Results!#REF!)-1)</f>
        <v>#REF!</v>
      </c>
    </row>
    <row r="35" spans="1:6">
      <c r="A35" s="23">
        <f>Results!C3</f>
        <v>42422.200694444444</v>
      </c>
      <c r="B35" s="24">
        <f>Results!D3+4/24</f>
        <v>0.16666666666666666</v>
      </c>
      <c r="C35" s="25" t="e">
        <f>Results!#REF!</f>
        <v>#REF!</v>
      </c>
      <c r="D35" s="25" t="e">
        <f>Results!#REF!</f>
        <v>#REF!</v>
      </c>
      <c r="E35" s="25">
        <f>Results!M3</f>
        <v>0</v>
      </c>
      <c r="F35" s="25" t="str">
        <f>LEFT(Results!A3,LEN(Results!A3)-1)</f>
        <v>599</v>
      </c>
    </row>
    <row r="36" spans="1:6">
      <c r="A36" s="23" t="e">
        <f>Results!#REF!</f>
        <v>#REF!</v>
      </c>
      <c r="B36" s="24" t="e">
        <f>Results!#REF!+4/24</f>
        <v>#REF!</v>
      </c>
      <c r="C36" s="25" t="e">
        <f>Results!#REF!</f>
        <v>#REF!</v>
      </c>
      <c r="D36" s="25" t="e">
        <f>Results!#REF!</f>
        <v>#REF!</v>
      </c>
      <c r="E36" s="25" t="e">
        <f>Results!#REF!</f>
        <v>#REF!</v>
      </c>
      <c r="F36" s="25" t="e">
        <f>LEFT(Results!#REF!,LEN(Results!#REF!)-1)</f>
        <v>#REF!</v>
      </c>
    </row>
    <row r="37" spans="1:6">
      <c r="A37" s="23" t="e">
        <f>Results!#REF!</f>
        <v>#REF!</v>
      </c>
      <c r="B37" s="24" t="e">
        <f>Results!#REF!+4/24</f>
        <v>#REF!</v>
      </c>
      <c r="C37" s="25" t="e">
        <f>Results!#REF!</f>
        <v>#REF!</v>
      </c>
      <c r="D37" s="25" t="e">
        <f>Results!#REF!</f>
        <v>#REF!</v>
      </c>
      <c r="E37" s="25" t="e">
        <f>Results!#REF!</f>
        <v>#REF!</v>
      </c>
      <c r="F37" s="25" t="e">
        <f>LEFT(Results!#REF!,LEN(Results!#REF!)-1)</f>
        <v>#REF!</v>
      </c>
    </row>
    <row r="38" spans="1:6">
      <c r="A38" s="23">
        <f>Results!C4</f>
        <v>42422.200694444444</v>
      </c>
      <c r="B38" s="24">
        <f>Results!D4+4/24</f>
        <v>0.16666666666666666</v>
      </c>
      <c r="C38" s="25" t="e">
        <f>Results!#REF!</f>
        <v>#REF!</v>
      </c>
      <c r="D38" s="25" t="e">
        <f>Results!#REF!</f>
        <v>#REF!</v>
      </c>
      <c r="E38" s="25">
        <f>Results!M4</f>
        <v>0.26400000000000001</v>
      </c>
      <c r="F38" s="25" t="str">
        <f>LEFT(Results!A4,LEN(Results!A4)-1)</f>
        <v>60</v>
      </c>
    </row>
    <row r="39" spans="1:6">
      <c r="A39" s="23" t="e">
        <f>Results!#REF!</f>
        <v>#REF!</v>
      </c>
      <c r="B39" s="24" t="e">
        <f>Results!#REF!+4/24</f>
        <v>#REF!</v>
      </c>
      <c r="C39" s="25" t="e">
        <f>Results!#REF!</f>
        <v>#REF!</v>
      </c>
      <c r="D39" s="25" t="e">
        <f>Results!#REF!</f>
        <v>#REF!</v>
      </c>
      <c r="E39" s="25" t="e">
        <f>Results!#REF!</f>
        <v>#REF!</v>
      </c>
      <c r="F39" s="25" t="e">
        <f>LEFT(Results!#REF!,LEN(Results!#REF!)-1)</f>
        <v>#REF!</v>
      </c>
    </row>
    <row r="40" spans="1:6">
      <c r="A40" s="23" t="e">
        <f>Results!#REF!</f>
        <v>#REF!</v>
      </c>
      <c r="B40" s="24" t="e">
        <f>Results!#REF!+4/24</f>
        <v>#REF!</v>
      </c>
      <c r="C40" s="25" t="e">
        <f>Results!#REF!</f>
        <v>#REF!</v>
      </c>
      <c r="D40" s="25" t="e">
        <f>Results!#REF!</f>
        <v>#REF!</v>
      </c>
      <c r="E40" s="25" t="e">
        <f>Results!#REF!</f>
        <v>#REF!</v>
      </c>
      <c r="F40" s="25" t="e">
        <f>LEFT(Results!#REF!,LEN(Results!#REF!)-1)</f>
        <v>#REF!</v>
      </c>
    </row>
    <row r="41" spans="1:6">
      <c r="A41" s="23">
        <f>Results!C5</f>
        <v>42422.200694444444</v>
      </c>
      <c r="B41" s="24">
        <f>Results!D5+4/24</f>
        <v>0.16666666666666666</v>
      </c>
      <c r="C41" s="25" t="e">
        <f>Results!#REF!</f>
        <v>#REF!</v>
      </c>
      <c r="D41" s="25" t="e">
        <f>Results!#REF!</f>
        <v>#REF!</v>
      </c>
      <c r="E41" s="25">
        <f>Results!O5</f>
        <v>0.19243620000000006</v>
      </c>
      <c r="F41" s="25" t="str">
        <f>LEFT(Results!A5,LEN(Results!A5)-1)</f>
        <v>601</v>
      </c>
    </row>
    <row r="42" spans="1:6">
      <c r="A42" s="23" t="e">
        <f>Results!#REF!</f>
        <v>#REF!</v>
      </c>
      <c r="B42" s="24" t="e">
        <f>Results!#REF!+4/24</f>
        <v>#REF!</v>
      </c>
      <c r="C42" s="25" t="e">
        <f>Results!#REF!</f>
        <v>#REF!</v>
      </c>
      <c r="D42" s="25" t="e">
        <f>Results!#REF!</f>
        <v>#REF!</v>
      </c>
      <c r="E42" s="25" t="e">
        <f>Results!#REF!</f>
        <v>#REF!</v>
      </c>
      <c r="F42" s="25" t="e">
        <f>LEFT(Results!#REF!,LEN(Results!#REF!)-1)</f>
        <v>#REF!</v>
      </c>
    </row>
    <row r="43" spans="1:6">
      <c r="A43" s="23" t="e">
        <f>Results!#REF!</f>
        <v>#REF!</v>
      </c>
      <c r="B43" s="24" t="e">
        <f>Results!#REF!+4/24</f>
        <v>#REF!</v>
      </c>
      <c r="C43" s="25" t="e">
        <f>Results!#REF!</f>
        <v>#REF!</v>
      </c>
      <c r="D43" s="25" t="e">
        <f>Results!#REF!</f>
        <v>#REF!</v>
      </c>
      <c r="E43" s="25" t="e">
        <f>Results!#REF!</f>
        <v>#REF!</v>
      </c>
      <c r="F43" s="25" t="e">
        <f>LEFT(Results!#REF!,LEN(Results!#REF!)-1)</f>
        <v>#REF!</v>
      </c>
    </row>
    <row r="44" spans="1:6">
      <c r="A44" s="23">
        <f>Results!C6</f>
        <v>42422.200694444444</v>
      </c>
      <c r="B44" s="24">
        <f>Results!D6+4/24</f>
        <v>0.16666666666666666</v>
      </c>
      <c r="C44" s="25" t="e">
        <f>Results!#REF!</f>
        <v>#REF!</v>
      </c>
      <c r="D44" s="25" t="e">
        <f>Results!#REF!</f>
        <v>#REF!</v>
      </c>
      <c r="E44" s="25">
        <f>Results!O6</f>
        <v>0.16911060000000003</v>
      </c>
      <c r="F44" s="25" t="str">
        <f>LEFT(Results!A6,LEN(Results!A6)-1)</f>
        <v>601</v>
      </c>
    </row>
    <row r="45" spans="1:6">
      <c r="A45" s="23" t="e">
        <f>Results!#REF!</f>
        <v>#REF!</v>
      </c>
      <c r="B45" s="24" t="e">
        <f>Results!#REF!+4/24</f>
        <v>#REF!</v>
      </c>
      <c r="C45" s="25" t="e">
        <f>Results!#REF!</f>
        <v>#REF!</v>
      </c>
      <c r="D45" s="25" t="e">
        <f>Results!#REF!</f>
        <v>#REF!</v>
      </c>
      <c r="E45" s="25" t="e">
        <f>Results!#REF!</f>
        <v>#REF!</v>
      </c>
      <c r="F45" s="25" t="e">
        <f>LEFT(Results!#REF!,LEN(Results!#REF!)-1)</f>
        <v>#REF!</v>
      </c>
    </row>
    <row r="46" spans="1:6">
      <c r="A46" s="23" t="e">
        <f>Results!#REF!</f>
        <v>#REF!</v>
      </c>
      <c r="B46" s="24" t="e">
        <f>Results!#REF!+4/24</f>
        <v>#REF!</v>
      </c>
      <c r="C46" s="25" t="e">
        <f>Results!#REF!</f>
        <v>#REF!</v>
      </c>
      <c r="D46" s="25" t="e">
        <f>Results!#REF!</f>
        <v>#REF!</v>
      </c>
      <c r="E46" s="25" t="e">
        <f>Results!#REF!</f>
        <v>#REF!</v>
      </c>
      <c r="F46" s="25" t="e">
        <f>LEFT(Results!#REF!,LEN(Results!#REF!)-1)</f>
        <v>#REF!</v>
      </c>
    </row>
    <row r="47" spans="1:6">
      <c r="A47" s="23">
        <f>Results!C7</f>
        <v>42422.212500000001</v>
      </c>
      <c r="B47" s="24">
        <f>Results!D7+4/24</f>
        <v>0.16666666666666666</v>
      </c>
      <c r="C47" s="25" t="e">
        <f>Results!#REF!</f>
        <v>#REF!</v>
      </c>
      <c r="D47" s="25" t="e">
        <f>Results!#REF!</f>
        <v>#REF!</v>
      </c>
      <c r="E47" s="25">
        <f>Results!O7</f>
        <v>0.66866719999999991</v>
      </c>
      <c r="F47" s="25" t="str">
        <f>LEFT(Results!A7,LEN(Results!A7)-1)</f>
        <v>60</v>
      </c>
    </row>
    <row r="48" spans="1:6">
      <c r="A48" s="23" t="e">
        <f>Results!#REF!</f>
        <v>#REF!</v>
      </c>
      <c r="B48" s="24" t="e">
        <f>Results!#REF!+4/24</f>
        <v>#REF!</v>
      </c>
      <c r="C48" s="25" t="e">
        <f>Results!#REF!</f>
        <v>#REF!</v>
      </c>
      <c r="D48" s="25" t="e">
        <f>Results!#REF!</f>
        <v>#REF!</v>
      </c>
      <c r="E48" s="25" t="e">
        <f>Results!#REF!</f>
        <v>#REF!</v>
      </c>
      <c r="F48" s="25" t="e">
        <f>LEFT(Results!#REF!,LEN(Results!#REF!)-1)</f>
        <v>#REF!</v>
      </c>
    </row>
    <row r="49" spans="1:6">
      <c r="A49" s="23" t="e">
        <f>Results!#REF!</f>
        <v>#REF!</v>
      </c>
      <c r="B49" s="24" t="e">
        <f>Results!#REF!+4/24</f>
        <v>#REF!</v>
      </c>
      <c r="C49" s="25" t="e">
        <f>Results!#REF!</f>
        <v>#REF!</v>
      </c>
      <c r="D49" s="25" t="e">
        <f>Results!#REF!</f>
        <v>#REF!</v>
      </c>
      <c r="E49" s="25" t="e">
        <f>Results!#REF!</f>
        <v>#REF!</v>
      </c>
      <c r="F49" s="25" t="e">
        <f>LEFT(Results!#REF!,LEN(Results!#REF!)-1)</f>
        <v>#REF!</v>
      </c>
    </row>
    <row r="50" spans="1:6">
      <c r="A50" s="23">
        <f>Results!C8</f>
        <v>42422.212500000001</v>
      </c>
      <c r="B50" s="24">
        <f>Results!D8+4/24</f>
        <v>0.17847222222432416</v>
      </c>
      <c r="C50" s="25" t="e">
        <f>Results!#REF!</f>
        <v>#REF!</v>
      </c>
      <c r="D50" s="25" t="e">
        <f>Results!#REF!</f>
        <v>#REF!</v>
      </c>
      <c r="E50" s="25">
        <f>Results!O8</f>
        <v>0.18854860000000001</v>
      </c>
      <c r="F50" s="25" t="str">
        <f>LEFT(Results!A8,LEN(Results!A8)-1)</f>
        <v>603</v>
      </c>
    </row>
    <row r="51" spans="1:6">
      <c r="A51" s="23" t="e">
        <f>Results!#REF!</f>
        <v>#REF!</v>
      </c>
      <c r="B51" s="24" t="e">
        <f>Results!#REF!+4/24</f>
        <v>#REF!</v>
      </c>
      <c r="C51" s="25" t="e">
        <f>Results!#REF!</f>
        <v>#REF!</v>
      </c>
      <c r="D51" s="25" t="e">
        <f>Results!#REF!</f>
        <v>#REF!</v>
      </c>
      <c r="E51" s="25" t="e">
        <f>Results!#REF!</f>
        <v>#REF!</v>
      </c>
      <c r="F51" s="25" t="e">
        <f>LEFT(Results!#REF!,LEN(Results!#REF!)-1)</f>
        <v>#REF!</v>
      </c>
    </row>
    <row r="52" spans="1:6">
      <c r="A52" s="23" t="e">
        <f>Results!#REF!</f>
        <v>#REF!</v>
      </c>
      <c r="B52" s="24" t="e">
        <f>Results!#REF!+4/24</f>
        <v>#REF!</v>
      </c>
      <c r="C52" s="25" t="e">
        <f>Results!#REF!</f>
        <v>#REF!</v>
      </c>
      <c r="D52" s="25" t="e">
        <f>Results!#REF!</f>
        <v>#REF!</v>
      </c>
      <c r="E52" s="25" t="e">
        <f>Results!#REF!</f>
        <v>#REF!</v>
      </c>
      <c r="F52" s="25" t="e">
        <f>LEFT(Results!#REF!,LEN(Results!#REF!)-1)</f>
        <v>#REF!</v>
      </c>
    </row>
    <row r="53" spans="1:6">
      <c r="A53" s="23">
        <f>Results!C9</f>
        <v>42422.212500000001</v>
      </c>
      <c r="B53" s="24">
        <f>Results!D9+4/24</f>
        <v>0.17847222222432416</v>
      </c>
      <c r="C53" s="25" t="e">
        <f>Results!#REF!</f>
        <v>#REF!</v>
      </c>
      <c r="D53" s="25" t="e">
        <f>Results!#REF!</f>
        <v>#REF!</v>
      </c>
      <c r="E53" s="25">
        <f>Results!O9</f>
        <v>0.14967259999999996</v>
      </c>
      <c r="F53" s="25" t="str">
        <f>LEFT(Results!A9,LEN(Results!A9)-1)</f>
        <v>603</v>
      </c>
    </row>
    <row r="54" spans="1:6">
      <c r="A54" s="23" t="e">
        <f>Results!#REF!</f>
        <v>#REF!</v>
      </c>
      <c r="B54" s="24" t="e">
        <f>Results!#REF!+4/24</f>
        <v>#REF!</v>
      </c>
      <c r="C54" s="25" t="e">
        <f>Results!#REF!</f>
        <v>#REF!</v>
      </c>
      <c r="D54" s="25" t="e">
        <f>Results!#REF!</f>
        <v>#REF!</v>
      </c>
      <c r="E54" s="25" t="e">
        <f>Results!#REF!</f>
        <v>#REF!</v>
      </c>
      <c r="F54" s="25" t="e">
        <f>LEFT(Results!#REF!,LEN(Results!#REF!)-1)</f>
        <v>#REF!</v>
      </c>
    </row>
    <row r="55" spans="1:6">
      <c r="A55" s="23" t="e">
        <f>Results!#REF!</f>
        <v>#REF!</v>
      </c>
      <c r="B55" s="24" t="e">
        <f>Results!#REF!+4/24</f>
        <v>#REF!</v>
      </c>
      <c r="C55" s="25" t="e">
        <f>Results!#REF!</f>
        <v>#REF!</v>
      </c>
      <c r="D55" s="25" t="e">
        <f>Results!#REF!</f>
        <v>#REF!</v>
      </c>
      <c r="E55" s="25" t="e">
        <f>Results!#REF!</f>
        <v>#REF!</v>
      </c>
      <c r="F55" s="25" t="e">
        <f>LEFT(Results!#REF!,LEN(Results!#REF!)-1)</f>
        <v>#REF!</v>
      </c>
    </row>
    <row r="56" spans="1:6">
      <c r="A56" s="23">
        <f>Results!C10</f>
        <v>42422.212500000001</v>
      </c>
      <c r="B56" s="24">
        <f>Results!D10+4/24</f>
        <v>0.17847222222432416</v>
      </c>
      <c r="C56" s="25" t="e">
        <f>Results!#REF!</f>
        <v>#REF!</v>
      </c>
      <c r="D56" s="25" t="e">
        <f>Results!#REF!</f>
        <v>#REF!</v>
      </c>
      <c r="E56" s="25">
        <f>Results!O10</f>
        <v>0.16716680000000003</v>
      </c>
      <c r="F56" s="25" t="str">
        <f>LEFT(Results!A10,LEN(Results!A10)-1)</f>
        <v>604</v>
      </c>
    </row>
    <row r="57" spans="1:6">
      <c r="A57" s="23" t="e">
        <f>Results!#REF!</f>
        <v>#REF!</v>
      </c>
      <c r="B57" s="24" t="e">
        <f>Results!#REF!+4/24</f>
        <v>#REF!</v>
      </c>
      <c r="C57" s="25" t="e">
        <f>Results!#REF!</f>
        <v>#REF!</v>
      </c>
      <c r="D57" s="25" t="e">
        <f>Results!#REF!</f>
        <v>#REF!</v>
      </c>
      <c r="E57" s="25" t="e">
        <f>Results!#REF!</f>
        <v>#REF!</v>
      </c>
      <c r="F57" s="25" t="e">
        <f>LEFT(Results!#REF!,LEN(Results!#REF!)-1)</f>
        <v>#REF!</v>
      </c>
    </row>
    <row r="58" spans="1:6">
      <c r="A58" s="23" t="e">
        <f>Results!#REF!</f>
        <v>#REF!</v>
      </c>
      <c r="B58" s="24" t="e">
        <f>Results!#REF!+4/24</f>
        <v>#REF!</v>
      </c>
      <c r="C58" s="25" t="e">
        <f>Results!#REF!</f>
        <v>#REF!</v>
      </c>
      <c r="D58" s="25" t="e">
        <f>Results!#REF!</f>
        <v>#REF!</v>
      </c>
      <c r="E58" s="25" t="e">
        <f>Results!#REF!</f>
        <v>#REF!</v>
      </c>
      <c r="F58" s="25" t="e">
        <f>LEFT(Results!#REF!,LEN(Results!#REF!)-1)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C9"/>
    </sheetView>
  </sheetViews>
  <sheetFormatPr defaultRowHeight="12.5"/>
  <cols>
    <col min="2" max="3" width="9.1796875" style="27" customWidth="1"/>
  </cols>
  <sheetData>
    <row r="1" spans="1:3">
      <c r="A1" t="str">
        <f>Entry!B3</f>
        <v>599a</v>
      </c>
      <c r="B1" s="27" t="e">
        <f>Entry!#REF!</f>
        <v>#REF!</v>
      </c>
      <c r="C1" s="27" t="e">
        <f>Entry!#REF!</f>
        <v>#REF!</v>
      </c>
    </row>
    <row r="2" spans="1:3">
      <c r="A2" t="str">
        <f>Entry!B4</f>
        <v>599b</v>
      </c>
      <c r="B2" s="27" t="e">
        <f>Entry!#REF!</f>
        <v>#REF!</v>
      </c>
      <c r="C2" s="27" t="e">
        <f>Entry!#REF!</f>
        <v>#REF!</v>
      </c>
    </row>
    <row r="3" spans="1:3">
      <c r="A3">
        <f>Entry!B5</f>
        <v>600</v>
      </c>
      <c r="B3" s="27" t="e">
        <f>Entry!#REF!</f>
        <v>#REF!</v>
      </c>
      <c r="C3" s="27" t="e">
        <f>Entry!#REF!</f>
        <v>#REF!</v>
      </c>
    </row>
    <row r="4" spans="1:3">
      <c r="A4" t="str">
        <f>Entry!B6</f>
        <v>601a</v>
      </c>
      <c r="B4" s="27" t="e">
        <f>Entry!#REF!</f>
        <v>#REF!</v>
      </c>
      <c r="C4" s="27" t="e">
        <f>Entry!#REF!</f>
        <v>#REF!</v>
      </c>
    </row>
    <row r="5" spans="1:3">
      <c r="A5" t="str">
        <f>Entry!B7</f>
        <v>601b</v>
      </c>
      <c r="B5" s="27" t="e">
        <f>Entry!#REF!</f>
        <v>#REF!</v>
      </c>
      <c r="C5" s="27" t="e">
        <f>Entry!#REF!</f>
        <v>#REF!</v>
      </c>
    </row>
    <row r="6" spans="1:3">
      <c r="A6">
        <f>Entry!B8</f>
        <v>602</v>
      </c>
      <c r="B6" s="27" t="e">
        <f>Entry!#REF!</f>
        <v>#REF!</v>
      </c>
      <c r="C6" s="27" t="e">
        <f>Entry!#REF!</f>
        <v>#REF!</v>
      </c>
    </row>
    <row r="7" spans="1:3">
      <c r="A7" t="str">
        <f>Entry!B9</f>
        <v>603a</v>
      </c>
      <c r="B7" s="27" t="e">
        <f>Entry!#REF!</f>
        <v>#REF!</v>
      </c>
      <c r="C7" s="27" t="e">
        <f>Entry!#REF!</f>
        <v>#REF!</v>
      </c>
    </row>
    <row r="8" spans="1:3">
      <c r="A8" t="str">
        <f>Entry!B10</f>
        <v>603b</v>
      </c>
      <c r="B8" s="27" t="e">
        <f>Entry!#REF!</f>
        <v>#REF!</v>
      </c>
      <c r="C8" s="27" t="e">
        <f>Entry!#REF!</f>
        <v>#REF!</v>
      </c>
    </row>
    <row r="9" spans="1:3">
      <c r="A9" t="str">
        <f>Entry!B11</f>
        <v>604a</v>
      </c>
      <c r="B9" s="27" t="e">
        <f>Entry!#REF!</f>
        <v>#REF!</v>
      </c>
      <c r="C9" s="27" t="e">
        <f>Entry!#REF!</f>
        <v>#REF!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opLeftCell="E1" workbookViewId="0">
      <selection activeCell="E52" sqref="E52"/>
    </sheetView>
  </sheetViews>
  <sheetFormatPr defaultRowHeight="12.5"/>
  <cols>
    <col min="26" max="26" width="13.6328125" bestFit="1" customWidth="1"/>
    <col min="27" max="31" width="13.7265625" bestFit="1" customWidth="1"/>
  </cols>
  <sheetData>
    <row r="1" spans="1:31">
      <c r="A1" t="s">
        <v>75</v>
      </c>
      <c r="B1" t="s">
        <v>73</v>
      </c>
      <c r="C1" t="s">
        <v>76</v>
      </c>
      <c r="D1" t="s">
        <v>77</v>
      </c>
      <c r="E1" t="s">
        <v>78</v>
      </c>
      <c r="F1" t="s">
        <v>13</v>
      </c>
      <c r="G1" t="s">
        <v>79</v>
      </c>
      <c r="H1" t="s">
        <v>80</v>
      </c>
      <c r="I1" t="s">
        <v>81</v>
      </c>
      <c r="J1" t="s">
        <v>82</v>
      </c>
      <c r="L1" t="s">
        <v>83</v>
      </c>
      <c r="M1" t="s">
        <v>84</v>
      </c>
      <c r="N1" t="s">
        <v>85</v>
      </c>
      <c r="O1" t="s">
        <v>86</v>
      </c>
      <c r="P1" t="s">
        <v>87</v>
      </c>
      <c r="Q1" t="s">
        <v>88</v>
      </c>
      <c r="R1" t="s">
        <v>89</v>
      </c>
      <c r="S1" t="s">
        <v>90</v>
      </c>
      <c r="T1" t="s">
        <v>91</v>
      </c>
      <c r="U1" t="s">
        <v>92</v>
      </c>
      <c r="V1" t="s">
        <v>93</v>
      </c>
      <c r="W1" t="s">
        <v>94</v>
      </c>
      <c r="X1" t="s">
        <v>95</v>
      </c>
      <c r="Y1" t="s">
        <v>96</v>
      </c>
      <c r="Z1" t="s">
        <v>84</v>
      </c>
      <c r="AA1" t="s">
        <v>86</v>
      </c>
      <c r="AB1" t="s">
        <v>88</v>
      </c>
      <c r="AC1" t="s">
        <v>90</v>
      </c>
      <c r="AD1" t="s">
        <v>92</v>
      </c>
      <c r="AE1" t="s">
        <v>94</v>
      </c>
    </row>
    <row r="2" spans="1:31">
      <c r="A2" t="str">
        <f>Entry!B3</f>
        <v>599a</v>
      </c>
      <c r="B2" t="str">
        <f>Entry!A3</f>
        <v>control 1a</v>
      </c>
      <c r="C2">
        <f>Results!K2</f>
        <v>0.23900000000000002</v>
      </c>
      <c r="F2">
        <f>Results!P2</f>
        <v>5.4037640000000012E-2</v>
      </c>
      <c r="M2">
        <f>D6</f>
        <v>0.24233333333333337</v>
      </c>
      <c r="N2">
        <f>E6</f>
        <v>4.1633319989322687E-3</v>
      </c>
      <c r="O2">
        <f>D11</f>
        <v>0.21366666666666667</v>
      </c>
      <c r="P2">
        <f>E11</f>
        <v>4.5092497528229124E-3</v>
      </c>
      <c r="Q2">
        <v>0.24233333333333337</v>
      </c>
      <c r="R2">
        <v>4.1633319989322687E-3</v>
      </c>
      <c r="S2">
        <v>0.24233333333333337</v>
      </c>
      <c r="T2">
        <v>4.1633319989322687E-3</v>
      </c>
      <c r="U2">
        <v>0.24233333333333337</v>
      </c>
      <c r="V2">
        <v>4.1633319989322687E-3</v>
      </c>
      <c r="W2">
        <v>0.24233333333333337</v>
      </c>
      <c r="X2">
        <v>4.1633319989322687E-3</v>
      </c>
      <c r="Z2" s="40">
        <f>Entry!D7</f>
        <v>0</v>
      </c>
      <c r="AA2" s="40">
        <f>Entry!D12</f>
        <v>1.1805555557657499E-2</v>
      </c>
      <c r="AB2" s="40">
        <f>Entry!D5</f>
        <v>0</v>
      </c>
      <c r="AC2" s="40">
        <f>Entry!D5</f>
        <v>0</v>
      </c>
      <c r="AD2" s="40">
        <f>Entry!D5</f>
        <v>0</v>
      </c>
      <c r="AE2" s="40">
        <f>Entry!D5</f>
        <v>0</v>
      </c>
    </row>
    <row r="3" spans="1:31">
      <c r="A3" t="str">
        <f>Entry!B4</f>
        <v>599b</v>
      </c>
      <c r="B3" t="str">
        <f>Entry!A4</f>
        <v>control 1b</v>
      </c>
      <c r="C3">
        <f>Results!K3</f>
        <v>0.24100000000000002</v>
      </c>
      <c r="F3">
        <f>Results!P3</f>
        <v>4.6573447999999962E-2</v>
      </c>
      <c r="M3">
        <f>D14</f>
        <v>0.27200000000000002</v>
      </c>
      <c r="N3">
        <f>E14</f>
        <v>4.450842616853589E-2</v>
      </c>
      <c r="O3">
        <f>D20</f>
        <v>0.38650000000000001</v>
      </c>
      <c r="P3">
        <f>E20</f>
        <v>1.9091883092036802E-2</v>
      </c>
      <c r="Q3">
        <f>D17</f>
        <v>0.48750000000000004</v>
      </c>
      <c r="R3">
        <f>E17</f>
        <v>5.0204581464244842E-2</v>
      </c>
      <c r="S3">
        <f>D23</f>
        <v>0.16666666666666666</v>
      </c>
      <c r="T3">
        <f>E23</f>
        <v>2.2810816147901085E-2</v>
      </c>
      <c r="U3">
        <f>D26</f>
        <v>0.1565</v>
      </c>
      <c r="V3">
        <f>E26</f>
        <v>1.2020815280171319E-2</v>
      </c>
      <c r="W3">
        <f>D29</f>
        <v>0.14533333333333334</v>
      </c>
      <c r="X3">
        <f>E29</f>
        <v>1.0066445913694344E-2</v>
      </c>
      <c r="Z3" s="40">
        <f>Entry!D15</f>
        <v>2.2166666666671517</v>
      </c>
      <c r="AA3" s="40">
        <f>Entry!D21</f>
        <v>2.2381944444423425</v>
      </c>
      <c r="AB3" s="40">
        <f>Entry!D18</f>
        <v>2.226388888891961</v>
      </c>
      <c r="AC3" s="40">
        <f>Entry!D21</f>
        <v>2.2381944444423425</v>
      </c>
      <c r="AD3" s="40">
        <f>Entry!D24</f>
        <v>2.2562499999985448</v>
      </c>
      <c r="AE3" s="40">
        <f>Entry!D27</f>
        <v>2.2694444444423425</v>
      </c>
    </row>
    <row r="4" spans="1:31">
      <c r="A4">
        <f>Entry!B5</f>
        <v>600</v>
      </c>
      <c r="B4" t="str">
        <f>Entry!A5</f>
        <v>control 2</v>
      </c>
      <c r="C4">
        <f>Results!K4</f>
        <v>0.31200000000000006</v>
      </c>
      <c r="F4">
        <f>Results!P4</f>
        <v>5.8780512E-2</v>
      </c>
      <c r="M4">
        <f>D32</f>
        <v>0.22933333333333331</v>
      </c>
      <c r="N4">
        <f>E32</f>
        <v>3.5697805721547696E-2</v>
      </c>
      <c r="O4">
        <f>D38</f>
        <v>0.29700000000000004</v>
      </c>
      <c r="P4">
        <f>E38</f>
        <v>2.2627416997969503E-2</v>
      </c>
      <c r="Q4">
        <f>D35</f>
        <v>0.45266666666666672</v>
      </c>
      <c r="R4">
        <f>E35</f>
        <v>3.720663023351263E-2</v>
      </c>
      <c r="S4">
        <f>D41</f>
        <v>0.14933333333333332</v>
      </c>
      <c r="T4">
        <f>E41</f>
        <v>3.5388321990924274E-2</v>
      </c>
      <c r="U4">
        <f>D44</f>
        <v>0.14000000000000001</v>
      </c>
      <c r="V4">
        <f>E44</f>
        <v>1.7521415467935082E-2</v>
      </c>
      <c r="W4">
        <f>D47</f>
        <v>0.13</v>
      </c>
      <c r="X4">
        <f>E47</f>
        <v>1.0148891565092213E-2</v>
      </c>
      <c r="Z4" s="40">
        <f>Entry!D33</f>
        <v>3.1395833333372138</v>
      </c>
      <c r="AA4" s="40">
        <f>Entry!D39</f>
        <v>3.1597222222262644</v>
      </c>
      <c r="AB4" s="40">
        <f>Entry!D36</f>
        <v>3.1472222222218988</v>
      </c>
      <c r="AC4" s="40">
        <f>Entry!D39</f>
        <v>3.1597222222262644</v>
      </c>
      <c r="AD4" s="40">
        <f>Entry!D42</f>
        <v>3.1777777777751908</v>
      </c>
      <c r="AE4" s="40">
        <f>Entry!D45</f>
        <v>3.1986111111109494</v>
      </c>
    </row>
    <row r="5" spans="1:31">
      <c r="A5" t="str">
        <f>Entry!B6</f>
        <v>601a</v>
      </c>
      <c r="B5" t="str">
        <f>Entry!A6</f>
        <v>control 3a</v>
      </c>
      <c r="C5">
        <f>Results!K5</f>
        <v>0.24700000000000003</v>
      </c>
      <c r="F5">
        <f>Results!P5</f>
        <v>4.9217016000000023E-2</v>
      </c>
      <c r="M5">
        <f>D52</f>
        <v>0.25000000000000006</v>
      </c>
      <c r="N5">
        <f>E52</f>
        <v>2.3611437906235173E-2</v>
      </c>
      <c r="O5">
        <f>D62</f>
        <v>0.22459999999999999</v>
      </c>
      <c r="P5">
        <f>E62</f>
        <v>3.9708941058658354E-2</v>
      </c>
      <c r="Q5">
        <f>D57</f>
        <v>0.42720000000000002</v>
      </c>
      <c r="R5">
        <f>E57</f>
        <v>2.7941009287425517E-2</v>
      </c>
      <c r="S5">
        <f>D67</f>
        <v>0.1744</v>
      </c>
      <c r="T5">
        <f>E67</f>
        <v>3.3358657047309281E-2</v>
      </c>
      <c r="U5">
        <f>D72</f>
        <v>0.14720000000000003</v>
      </c>
      <c r="V5">
        <f>E72</f>
        <v>8.6429161745327707E-3</v>
      </c>
      <c r="W5">
        <f>D77</f>
        <v>0.14920000000000003</v>
      </c>
      <c r="X5">
        <f>E77</f>
        <v>5.4037024344425356E-3</v>
      </c>
      <c r="Z5" s="40">
        <f>Entry!D53</f>
        <v>4.132638888891961</v>
      </c>
      <c r="AA5" s="40">
        <f>Entry!D63</f>
        <v>4.163888888891961</v>
      </c>
      <c r="AB5" s="40">
        <f>Entry!D58</f>
        <v>4.1430555555562023</v>
      </c>
      <c r="AC5" s="40">
        <f>Entry!D68</f>
        <v>4.1847222222204437</v>
      </c>
      <c r="AD5" s="40">
        <f>Entry!D73</f>
        <v>4.2055555555562023</v>
      </c>
      <c r="AE5" s="40">
        <f>Entry!D78</f>
        <v>4.2159722222204437</v>
      </c>
    </row>
    <row r="6" spans="1:31">
      <c r="A6" t="str">
        <f>Entry!B7</f>
        <v>601b</v>
      </c>
      <c r="B6" t="str">
        <f>Entry!A7</f>
        <v>control 3b</v>
      </c>
      <c r="C6">
        <f>Results!K6</f>
        <v>0.22700000000000001</v>
      </c>
      <c r="D6">
        <f>AVERAGE(C2:C3,C5)</f>
        <v>0.24233333333333337</v>
      </c>
      <c r="E6">
        <f>_xlfn.STDEV.S(C2:C3,C5)</f>
        <v>4.1633319989322687E-3</v>
      </c>
      <c r="F6">
        <f>Results!P6</f>
        <v>5.948028000000001E-2</v>
      </c>
      <c r="G6">
        <f>AVERAGE(F2:F6)</f>
        <v>5.3617779200000007E-2</v>
      </c>
      <c r="H6">
        <f>_xlfn.STDEV.S(F2:F6)</f>
        <v>5.7050049842953957E-3</v>
      </c>
      <c r="I6">
        <f t="shared" ref="I6:I70" si="0">G6/D6</f>
        <v>0.22125631031636864</v>
      </c>
      <c r="J6">
        <f t="shared" ref="J6:J70" si="1">(SQRT((E6/D6)^2+(H6/G6)^2))*I6</f>
        <v>2.3846883242972603E-2</v>
      </c>
    </row>
    <row r="7" spans="1:31">
      <c r="A7">
        <f>Entry!B8</f>
        <v>602</v>
      </c>
      <c r="B7" t="str">
        <f>Entry!A8</f>
        <v>SAMW 7</v>
      </c>
      <c r="C7">
        <f>Results!K7</f>
        <v>0.80100000000000005</v>
      </c>
      <c r="F7">
        <f>Results!P7</f>
        <v>7.7518744000000264E-2</v>
      </c>
    </row>
    <row r="8" spans="1:31">
      <c r="A8" t="str">
        <f>Entry!B9</f>
        <v>603a</v>
      </c>
      <c r="B8" t="str">
        <f>Entry!A9</f>
        <v>SAMW 8a</v>
      </c>
      <c r="C8">
        <f>Results!K8</f>
        <v>0.23799999999999999</v>
      </c>
      <c r="F8">
        <f>Results!P8</f>
        <v>4.1675071999999987E-2</v>
      </c>
    </row>
    <row r="9" spans="1:31">
      <c r="A9" t="str">
        <f>Entry!B10</f>
        <v>603b</v>
      </c>
      <c r="B9" t="str">
        <f>Entry!A10</f>
        <v>SAMW 8b</v>
      </c>
      <c r="C9">
        <f>Results!K9</f>
        <v>0.20899999999999999</v>
      </c>
      <c r="F9">
        <f>Results!P9</f>
        <v>6.5855944000000097E-2</v>
      </c>
    </row>
    <row r="10" spans="1:31">
      <c r="A10" t="str">
        <f>Entry!B11</f>
        <v>604a</v>
      </c>
      <c r="B10" t="str">
        <f>Entry!A11</f>
        <v>SAMW 9a</v>
      </c>
      <c r="C10">
        <f>Results!K10</f>
        <v>0.21400000000000002</v>
      </c>
      <c r="F10">
        <f>Results!P10</f>
        <v>4.1830575999999974E-2</v>
      </c>
      <c r="L10" t="s">
        <v>97</v>
      </c>
      <c r="M10" t="s">
        <v>84</v>
      </c>
      <c r="O10" t="s">
        <v>86</v>
      </c>
      <c r="Q10" t="s">
        <v>88</v>
      </c>
      <c r="S10" t="s">
        <v>90</v>
      </c>
      <c r="U10" t="s">
        <v>92</v>
      </c>
      <c r="W10" t="s">
        <v>94</v>
      </c>
    </row>
    <row r="11" spans="1:31">
      <c r="A11" t="str">
        <f>Entry!B12</f>
        <v>604b</v>
      </c>
      <c r="B11" t="str">
        <f>Entry!A12</f>
        <v>SAMW 9b</v>
      </c>
      <c r="C11">
        <f>Results!K11</f>
        <v>0.21800000000000003</v>
      </c>
      <c r="D11">
        <f>AVERAGE(C9:C11)</f>
        <v>0.21366666666666667</v>
      </c>
      <c r="E11">
        <f>_xlfn.STDEV.S(C9:C11)</f>
        <v>4.5092497528229124E-3</v>
      </c>
      <c r="F11">
        <f>Results!P11</f>
        <v>4.120856000000004E-2</v>
      </c>
      <c r="G11">
        <f>AVERAGE(F7:F11)</f>
        <v>5.3617779200000069E-2</v>
      </c>
      <c r="H11">
        <f>_xlfn.STDEV.S(F7:F11)</f>
        <v>1.7004293073658514E-2</v>
      </c>
      <c r="I11">
        <f t="shared" si="0"/>
        <v>0.25094124430577253</v>
      </c>
      <c r="J11">
        <f t="shared" si="1"/>
        <v>7.9759288960923033E-2</v>
      </c>
      <c r="M11">
        <f>G6</f>
        <v>5.3617779200000007E-2</v>
      </c>
      <c r="N11">
        <f>H6</f>
        <v>5.7050049842953957E-3</v>
      </c>
      <c r="O11">
        <f>G11</f>
        <v>5.3617779200000069E-2</v>
      </c>
      <c r="P11">
        <f>H11</f>
        <v>1.7004293073658514E-2</v>
      </c>
      <c r="Q11">
        <v>5.7432810666666667E-2</v>
      </c>
      <c r="R11">
        <v>2.9610482443387029E-3</v>
      </c>
      <c r="S11">
        <v>5.7432810666666667E-2</v>
      </c>
      <c r="T11">
        <v>2.9610482443387029E-3</v>
      </c>
      <c r="U11">
        <v>5.7432810666666667E-2</v>
      </c>
      <c r="V11">
        <v>2.9610482443387029E-3</v>
      </c>
      <c r="W11">
        <v>5.7432810666666667E-2</v>
      </c>
      <c r="X11">
        <v>2.9610482443387029E-3</v>
      </c>
      <c r="Z11" s="40">
        <v>0</v>
      </c>
      <c r="AA11" s="40">
        <v>1.1805555557657499E-2</v>
      </c>
      <c r="AB11" s="40">
        <v>0</v>
      </c>
      <c r="AC11" s="40">
        <v>0</v>
      </c>
      <c r="AD11" s="40">
        <v>0</v>
      </c>
      <c r="AE11" s="40">
        <v>0</v>
      </c>
    </row>
    <row r="12" spans="1:31">
      <c r="A12">
        <f>Entry!B13</f>
        <v>663</v>
      </c>
      <c r="B12" t="str">
        <f>Entry!A13</f>
        <v>control 1</v>
      </c>
      <c r="C12">
        <f>Results!K12</f>
        <v>0.27300000000000002</v>
      </c>
      <c r="F12">
        <f>Results!P12</f>
        <v>4.1597320000000083E-2</v>
      </c>
      <c r="M12">
        <f>G14</f>
        <v>4.5925514666666702E-2</v>
      </c>
      <c r="N12">
        <f>H14</f>
        <v>4.7488165151352109E-3</v>
      </c>
      <c r="O12">
        <f>G20</f>
        <v>4.8543165333333436E-2</v>
      </c>
      <c r="P12">
        <f>H20</f>
        <v>1.1618743713019066E-2</v>
      </c>
      <c r="Q12">
        <f>G17</f>
        <v>9.4002168000000066E-2</v>
      </c>
      <c r="R12">
        <f>H17</f>
        <v>2.7447777531923886E-2</v>
      </c>
      <c r="S12">
        <f>G23</f>
        <v>2.5585591466666679E-2</v>
      </c>
      <c r="T12">
        <f>H23</f>
        <v>6.3435785190132151E-3</v>
      </c>
      <c r="U12">
        <f>G26</f>
        <v>2.4004634133333331E-2</v>
      </c>
      <c r="V12">
        <f>H26</f>
        <v>8.6557266312397591E-3</v>
      </c>
      <c r="W12">
        <f>G29</f>
        <v>2.8187691733333343E-2</v>
      </c>
      <c r="X12">
        <f>H29</f>
        <v>1.4220186829285895E-3</v>
      </c>
      <c r="Z12" s="40">
        <v>2.2166666666671517</v>
      </c>
      <c r="AA12" s="40">
        <v>2.2381944444423425</v>
      </c>
      <c r="AB12" s="40">
        <v>2.226388888891961</v>
      </c>
      <c r="AC12" s="40">
        <v>2.2381944444423425</v>
      </c>
      <c r="AD12" s="40">
        <v>2.2562499999985448</v>
      </c>
      <c r="AE12" s="40">
        <v>2.2694444444423425</v>
      </c>
    </row>
    <row r="13" spans="1:31">
      <c r="A13">
        <f>Entry!B14</f>
        <v>664</v>
      </c>
      <c r="B13" t="str">
        <f>Entry!A14</f>
        <v>control 2</v>
      </c>
      <c r="C13">
        <f>Results!K13</f>
        <v>0.22700000000000001</v>
      </c>
      <c r="F13">
        <f>Results!P13</f>
        <v>4.5173912000000038E-2</v>
      </c>
      <c r="M13">
        <f>G32</f>
        <v>5.3752549333333371E-2</v>
      </c>
      <c r="N13">
        <f>H32</f>
        <v>1.5386319947964843E-2</v>
      </c>
      <c r="O13">
        <f>G38</f>
        <v>4.7221381333333347E-2</v>
      </c>
      <c r="P13">
        <f>H38</f>
        <v>1.2430191918861662E-2</v>
      </c>
      <c r="Q13">
        <f>G35</f>
        <v>8.9362965333333336E-2</v>
      </c>
      <c r="R13">
        <f>H35</f>
        <v>2.0794021006640243E-2</v>
      </c>
      <c r="S13">
        <f>G41</f>
        <v>2.6135038933333372E-2</v>
      </c>
      <c r="T13">
        <f>H41</f>
        <v>3.7466568939880447E-3</v>
      </c>
      <c r="U13">
        <f>G44</f>
        <v>2.0910104533333359E-2</v>
      </c>
      <c r="V13">
        <f>H44</f>
        <v>3.8354150831081921E-4</v>
      </c>
      <c r="W13">
        <f>G47</f>
        <v>1.8411673600000029E-2</v>
      </c>
      <c r="X13">
        <f>H47</f>
        <v>4.2690592166235494E-3</v>
      </c>
      <c r="Z13" s="40">
        <v>3.1395833333372138</v>
      </c>
      <c r="AA13" s="40">
        <v>3.1597222222262644</v>
      </c>
      <c r="AB13" s="40">
        <v>3.1472222222218988</v>
      </c>
      <c r="AC13" s="40">
        <v>3.1597222222262644</v>
      </c>
      <c r="AD13" s="40">
        <v>3.1777777777751908</v>
      </c>
      <c r="AE13" s="40">
        <v>3.1986111111109494</v>
      </c>
    </row>
    <row r="14" spans="1:31">
      <c r="A14">
        <f>Entry!B15</f>
        <v>665</v>
      </c>
      <c r="B14" t="str">
        <f>Entry!A15</f>
        <v>control 3</v>
      </c>
      <c r="C14">
        <f>Results!K14</f>
        <v>0.31600000000000006</v>
      </c>
      <c r="D14">
        <f>AVERAGE(C12:C14)</f>
        <v>0.27200000000000002</v>
      </c>
      <c r="E14">
        <f>_xlfn.STDEV.S(C12:C14)</f>
        <v>4.450842616853589E-2</v>
      </c>
      <c r="F14">
        <f>Results!P14</f>
        <v>5.1005311999999997E-2</v>
      </c>
      <c r="G14">
        <f t="shared" ref="G14:G77" si="2">AVERAGE(F12:F14)</f>
        <v>4.5925514666666702E-2</v>
      </c>
      <c r="H14">
        <f t="shared" ref="H14:H77" si="3">_xlfn.STDEV.S(F12:F14)</f>
        <v>4.7488165151352109E-3</v>
      </c>
      <c r="I14">
        <f t="shared" si="0"/>
        <v>0.16884380392156875</v>
      </c>
      <c r="J14">
        <f t="shared" si="1"/>
        <v>3.2682575028985257E-2</v>
      </c>
      <c r="M14">
        <f>G52</f>
        <v>4.1954979200000027E-2</v>
      </c>
      <c r="N14">
        <f>H52</f>
        <v>1.2863503869087762E-2</v>
      </c>
      <c r="O14">
        <f>G62</f>
        <v>4.5690185280000031E-2</v>
      </c>
      <c r="P14">
        <f>H62</f>
        <v>1.1106744066158671E-2</v>
      </c>
      <c r="Q14">
        <f>G57</f>
        <v>6.7333232000000076E-2</v>
      </c>
      <c r="R14">
        <f>H57</f>
        <v>3.1208252302807361E-2</v>
      </c>
      <c r="S14">
        <f>G67</f>
        <v>2.8531873919999996E-2</v>
      </c>
      <c r="T14">
        <f>H67</f>
        <v>7.2026424571232234E-3</v>
      </c>
      <c r="U14">
        <f>G72</f>
        <v>2.4606952960000004E-2</v>
      </c>
      <c r="V14">
        <f>H72</f>
        <v>5.5487980500603887E-3</v>
      </c>
      <c r="W14">
        <f>G77</f>
        <v>2.3723690240000022E-2</v>
      </c>
      <c r="X14">
        <f>H77</f>
        <v>5.7254896102771997E-3</v>
      </c>
      <c r="Z14" s="40">
        <v>3.2138888888875954</v>
      </c>
      <c r="AA14" s="40">
        <v>4.163888888891961</v>
      </c>
      <c r="AB14" s="40">
        <v>4.1430555555562023</v>
      </c>
      <c r="AC14" s="40">
        <v>4.1847222222204437</v>
      </c>
      <c r="AD14" s="40">
        <v>4.2055555555562023</v>
      </c>
      <c r="AE14" s="40">
        <v>4.2159722222204437</v>
      </c>
    </row>
    <row r="15" spans="1:31">
      <c r="A15">
        <f>Entry!B16</f>
        <v>666</v>
      </c>
      <c r="B15" t="str">
        <f>Entry!A16</f>
        <v>NO3 4</v>
      </c>
      <c r="C15">
        <f>Results!K15</f>
        <v>0.45200000000000007</v>
      </c>
      <c r="F15">
        <f>Results!P15</f>
        <v>8.7082240000000088E-2</v>
      </c>
      <c r="Z15" s="40"/>
      <c r="AA15" s="40"/>
      <c r="AB15" s="40"/>
      <c r="AC15" s="40"/>
      <c r="AD15" s="40"/>
      <c r="AE15" s="40"/>
    </row>
    <row r="16" spans="1:31">
      <c r="A16">
        <f>Entry!B17</f>
        <v>667</v>
      </c>
      <c r="B16" t="str">
        <f>Entry!A17</f>
        <v>NO3 5</v>
      </c>
      <c r="C16" t="s">
        <v>118</v>
      </c>
      <c r="F16">
        <f>Results!P16</f>
        <v>0.12424769600000013</v>
      </c>
      <c r="Z16" s="40"/>
      <c r="AA16" s="40"/>
      <c r="AB16" s="40"/>
      <c r="AC16" s="40"/>
      <c r="AD16" s="40"/>
      <c r="AE16" s="40"/>
    </row>
    <row r="17" spans="1:31">
      <c r="A17">
        <f>Entry!B18</f>
        <v>668</v>
      </c>
      <c r="B17" t="str">
        <f>Entry!A18</f>
        <v>NO3 6</v>
      </c>
      <c r="C17">
        <f>Results!K17</f>
        <v>0.52300000000000002</v>
      </c>
      <c r="D17">
        <f t="shared" ref="D17:D80" si="4">AVERAGE(C15:C17)</f>
        <v>0.48750000000000004</v>
      </c>
      <c r="E17">
        <f t="shared" ref="E17:E77" si="5">_xlfn.STDEV.S(C15:C17)</f>
        <v>5.0204581464244842E-2</v>
      </c>
      <c r="F17">
        <f>Results!P17</f>
        <v>7.0676567999999981E-2</v>
      </c>
      <c r="G17">
        <f t="shared" si="2"/>
        <v>9.4002168000000066E-2</v>
      </c>
      <c r="H17">
        <f t="shared" si="3"/>
        <v>2.7447777531923886E-2</v>
      </c>
      <c r="I17">
        <f t="shared" si="0"/>
        <v>0.19282496000000013</v>
      </c>
      <c r="J17">
        <f t="shared" si="1"/>
        <v>5.9702400220939623E-2</v>
      </c>
      <c r="Z17" s="40"/>
      <c r="AA17" s="40"/>
      <c r="AB17" s="40"/>
      <c r="AC17" s="40"/>
      <c r="AD17" s="40"/>
      <c r="AE17" s="40"/>
    </row>
    <row r="18" spans="1:31">
      <c r="A18">
        <f>Entry!B19</f>
        <v>669</v>
      </c>
      <c r="B18" t="str">
        <f>Entry!A19</f>
        <v>SAMW 7</v>
      </c>
      <c r="C18">
        <f>Results!K18</f>
        <v>0.373</v>
      </c>
      <c r="F18">
        <f>Results!P18</f>
        <v>5.4659656000000112E-2</v>
      </c>
      <c r="Z18" s="40"/>
      <c r="AA18" s="40"/>
      <c r="AB18" s="40"/>
      <c r="AC18" s="40"/>
      <c r="AD18" s="40"/>
      <c r="AE18" s="40"/>
    </row>
    <row r="19" spans="1:31">
      <c r="A19">
        <f>Entry!B20</f>
        <v>670</v>
      </c>
      <c r="B19" t="str">
        <f>Entry!A20</f>
        <v>SAMW 8</v>
      </c>
      <c r="C19">
        <f>Results!K19</f>
        <v>0.4</v>
      </c>
      <c r="F19">
        <f>Results!P19</f>
        <v>5.5825936000000069E-2</v>
      </c>
      <c r="L19" t="s">
        <v>98</v>
      </c>
      <c r="M19" t="s">
        <v>84</v>
      </c>
      <c r="O19" t="s">
        <v>86</v>
      </c>
      <c r="Q19" t="s">
        <v>88</v>
      </c>
      <c r="S19" t="s">
        <v>90</v>
      </c>
      <c r="U19" t="s">
        <v>92</v>
      </c>
      <c r="W19" t="s">
        <v>94</v>
      </c>
      <c r="Z19" s="40"/>
      <c r="AA19" s="40"/>
      <c r="AB19" s="40"/>
      <c r="AC19" s="40"/>
      <c r="AD19" s="40"/>
      <c r="AE19" s="40"/>
    </row>
    <row r="20" spans="1:31">
      <c r="A20">
        <f>Entry!B21</f>
        <v>671</v>
      </c>
      <c r="B20" t="str">
        <f>Entry!A21</f>
        <v>SAMW 9</v>
      </c>
      <c r="C20" t="s">
        <v>119</v>
      </c>
      <c r="D20">
        <f t="shared" si="4"/>
        <v>0.38650000000000001</v>
      </c>
      <c r="E20">
        <f t="shared" si="5"/>
        <v>1.9091883092036802E-2</v>
      </c>
      <c r="F20">
        <f>Results!P20</f>
        <v>3.5143904000000101E-2</v>
      </c>
      <c r="G20">
        <f t="shared" si="2"/>
        <v>4.8543165333333436E-2</v>
      </c>
      <c r="H20">
        <f t="shared" si="3"/>
        <v>1.1618743713019066E-2</v>
      </c>
      <c r="I20">
        <f t="shared" si="0"/>
        <v>0.1255968055196208</v>
      </c>
      <c r="J20">
        <f t="shared" si="1"/>
        <v>3.0694957637523421E-2</v>
      </c>
      <c r="M20">
        <f>I6</f>
        <v>0.22125631031636864</v>
      </c>
      <c r="N20">
        <f>J6</f>
        <v>2.3846883242972603E-2</v>
      </c>
      <c r="O20">
        <f>I11</f>
        <v>0.25094124430577253</v>
      </c>
      <c r="P20">
        <f>J11</f>
        <v>7.9759288960923033E-2</v>
      </c>
      <c r="Q20">
        <v>0.2369992187070151</v>
      </c>
      <c r="R20">
        <v>1.287945391332364E-2</v>
      </c>
      <c r="S20">
        <v>0.2369992187070151</v>
      </c>
      <c r="T20">
        <v>1.287945391332364E-2</v>
      </c>
      <c r="U20">
        <v>0.2369992187070151</v>
      </c>
      <c r="V20">
        <v>1.287945391332364E-2</v>
      </c>
      <c r="W20">
        <v>0.2369992187070151</v>
      </c>
      <c r="X20">
        <v>1.287945391332364E-2</v>
      </c>
      <c r="Z20" s="40">
        <v>0</v>
      </c>
      <c r="AA20" s="40">
        <v>1.1805555557657499E-2</v>
      </c>
      <c r="AB20" s="40">
        <v>0</v>
      </c>
      <c r="AC20" s="40">
        <v>0</v>
      </c>
      <c r="AD20" s="40">
        <v>0</v>
      </c>
      <c r="AE20" s="40">
        <v>0</v>
      </c>
    </row>
    <row r="21" spans="1:31">
      <c r="A21">
        <f>Entry!B22</f>
        <v>672</v>
      </c>
      <c r="B21" t="str">
        <f>Entry!A22</f>
        <v>Si 10</v>
      </c>
      <c r="C21">
        <f>Results!K21</f>
        <v>0.193</v>
      </c>
      <c r="F21">
        <f>Results!P21</f>
        <v>3.2578087999999998E-2</v>
      </c>
      <c r="M21">
        <f>I14</f>
        <v>0.16884380392156875</v>
      </c>
      <c r="N21">
        <f>J14</f>
        <v>3.2682575028985257E-2</v>
      </c>
      <c r="O21">
        <f>I20</f>
        <v>0.1255968055196208</v>
      </c>
      <c r="P21">
        <f>J20</f>
        <v>3.0694957637523421E-2</v>
      </c>
      <c r="Q21">
        <f>I17</f>
        <v>0.19282496000000013</v>
      </c>
      <c r="R21">
        <f>J17</f>
        <v>5.9702400220939623E-2</v>
      </c>
      <c r="S21">
        <f>I23</f>
        <v>0.15351354880000009</v>
      </c>
      <c r="T21">
        <f>J23</f>
        <v>4.3475528394901278E-2</v>
      </c>
      <c r="U21">
        <f>I26</f>
        <v>0.15338424366347175</v>
      </c>
      <c r="V21">
        <f>J26</f>
        <v>5.6549057037235922E-2</v>
      </c>
      <c r="W21">
        <f>I29</f>
        <v>0.19395200733944959</v>
      </c>
      <c r="X21">
        <f>J29</f>
        <v>1.6619546153616771E-2</v>
      </c>
      <c r="Z21" s="40">
        <v>2.2166666666671517</v>
      </c>
      <c r="AA21" s="40">
        <v>2.2381944444423425</v>
      </c>
      <c r="AB21" s="40">
        <v>2.226388888891961</v>
      </c>
      <c r="AC21" s="40">
        <v>2.2381944444423425</v>
      </c>
      <c r="AD21" s="40">
        <v>2.2562499999985448</v>
      </c>
      <c r="AE21" s="40">
        <v>2.2694444444423425</v>
      </c>
    </row>
    <row r="22" spans="1:31">
      <c r="A22">
        <f>Entry!B23</f>
        <v>673</v>
      </c>
      <c r="B22" t="str">
        <f>Entry!A23</f>
        <v>Si 11</v>
      </c>
      <c r="C22">
        <f>Results!K22</f>
        <v>0.15300000000000002</v>
      </c>
      <c r="F22">
        <f>Results!P22</f>
        <v>2.0199969600000006E-2</v>
      </c>
      <c r="M22">
        <f>I32</f>
        <v>0.23438611627906997</v>
      </c>
      <c r="N22">
        <f>J32</f>
        <v>7.6369996022334116E-2</v>
      </c>
      <c r="O22">
        <f>I38</f>
        <v>0.15899454994388329</v>
      </c>
      <c r="P22">
        <f>J38</f>
        <v>4.3570201717870072E-2</v>
      </c>
      <c r="Q22">
        <f>I35</f>
        <v>0.1974145036818851</v>
      </c>
      <c r="R22">
        <f>J35</f>
        <v>4.8718338863979617E-2</v>
      </c>
      <c r="S22">
        <f>I41</f>
        <v>0.17501142142857171</v>
      </c>
      <c r="T22">
        <f>J41</f>
        <v>4.8471760699820163E-2</v>
      </c>
      <c r="U22">
        <f>I44</f>
        <v>0.14935788952380968</v>
      </c>
      <c r="V22">
        <f>J44</f>
        <v>1.8892272866526061E-2</v>
      </c>
      <c r="W22">
        <f>I47</f>
        <v>0.14162825846153868</v>
      </c>
      <c r="X22">
        <f>J47</f>
        <v>3.4650323090195022E-2</v>
      </c>
      <c r="Z22" s="40">
        <v>3.1395833333372138</v>
      </c>
      <c r="AA22" s="40">
        <v>3.1597222222262644</v>
      </c>
      <c r="AB22" s="40">
        <v>3.1472222222218988</v>
      </c>
      <c r="AC22" s="40">
        <v>3.1597222222262644</v>
      </c>
      <c r="AD22" s="40">
        <v>3.1777777777751908</v>
      </c>
      <c r="AE22" s="40">
        <v>3.1986111111109494</v>
      </c>
    </row>
    <row r="23" spans="1:31">
      <c r="A23">
        <f>Entry!B24</f>
        <v>674</v>
      </c>
      <c r="B23" t="str">
        <f>Entry!A24</f>
        <v>Si 12</v>
      </c>
      <c r="C23">
        <f>Results!K23</f>
        <v>0.15400000000000003</v>
      </c>
      <c r="D23">
        <f t="shared" si="4"/>
        <v>0.16666666666666666</v>
      </c>
      <c r="E23">
        <f t="shared" si="5"/>
        <v>2.2810816147901085E-2</v>
      </c>
      <c r="F23">
        <f>Results!P23</f>
        <v>2.3978716800000029E-2</v>
      </c>
      <c r="G23">
        <f t="shared" si="2"/>
        <v>2.5585591466666679E-2</v>
      </c>
      <c r="H23">
        <f t="shared" si="3"/>
        <v>6.3435785190132151E-3</v>
      </c>
      <c r="I23">
        <f t="shared" si="0"/>
        <v>0.15351354880000009</v>
      </c>
      <c r="J23">
        <f t="shared" si="1"/>
        <v>4.3475528394901278E-2</v>
      </c>
      <c r="M23">
        <f>I52</f>
        <v>0.16781991680000008</v>
      </c>
      <c r="N23">
        <f>J52</f>
        <v>5.3839895495398409E-2</v>
      </c>
      <c r="O23">
        <f>I57</f>
        <v>0.15761524344569305</v>
      </c>
      <c r="P23">
        <f>J57</f>
        <v>7.3776800494597741E-2</v>
      </c>
      <c r="Q23">
        <f>I62</f>
        <v>0.20342914194122899</v>
      </c>
      <c r="R23">
        <f>J62</f>
        <v>6.1147149103477856E-2</v>
      </c>
      <c r="S23">
        <f>I67</f>
        <v>0.16360019449541283</v>
      </c>
      <c r="T23">
        <f>J67</f>
        <v>5.18160132668238E-2</v>
      </c>
      <c r="U23">
        <f>I72</f>
        <v>0.1671668</v>
      </c>
      <c r="V23">
        <f>J72</f>
        <v>3.8952545985121149E-2</v>
      </c>
      <c r="W23">
        <f>I77</f>
        <v>0.15900596675603229</v>
      </c>
      <c r="X23">
        <f>J77</f>
        <v>3.8804303276065544E-2</v>
      </c>
      <c r="Z23" s="40">
        <v>3.2138888888875954</v>
      </c>
      <c r="AA23" s="40">
        <v>4.163888888891961</v>
      </c>
      <c r="AB23" s="40">
        <v>4.1430555555562023</v>
      </c>
      <c r="AC23" s="40">
        <v>4.1847222222204437</v>
      </c>
      <c r="AD23" s="40">
        <v>4.2055555555562023</v>
      </c>
      <c r="AE23" s="40">
        <v>4.2159722222204437</v>
      </c>
    </row>
    <row r="24" spans="1:31">
      <c r="A24">
        <f>Entry!B25</f>
        <v>675</v>
      </c>
      <c r="B24" t="str">
        <f>Entry!A25</f>
        <v>Fe + Si 13</v>
      </c>
      <c r="C24" t="s">
        <v>120</v>
      </c>
      <c r="F24">
        <f>Results!P24</f>
        <v>1.4461871999999962E-2</v>
      </c>
    </row>
    <row r="25" spans="1:31">
      <c r="A25">
        <f>Entry!B26</f>
        <v>676</v>
      </c>
      <c r="B25" t="str">
        <f>Entry!A26</f>
        <v>Fe + Si 14</v>
      </c>
      <c r="C25">
        <f>Results!K25</f>
        <v>0.16500000000000001</v>
      </c>
      <c r="F25">
        <f>Results!P25</f>
        <v>2.6202424000000009E-2</v>
      </c>
    </row>
    <row r="26" spans="1:31">
      <c r="A26">
        <f>Entry!B27</f>
        <v>677</v>
      </c>
      <c r="B26" t="str">
        <f>Entry!A27</f>
        <v>Fe + Si 15</v>
      </c>
      <c r="C26">
        <f>Results!K26</f>
        <v>0.14799999999999999</v>
      </c>
      <c r="D26">
        <f t="shared" si="4"/>
        <v>0.1565</v>
      </c>
      <c r="E26">
        <f t="shared" si="5"/>
        <v>1.2020815280171319E-2</v>
      </c>
      <c r="F26">
        <f>Results!P26</f>
        <v>3.1349606400000021E-2</v>
      </c>
      <c r="G26">
        <f t="shared" si="2"/>
        <v>2.4004634133333331E-2</v>
      </c>
      <c r="H26">
        <f t="shared" si="3"/>
        <v>8.6557266312397591E-3</v>
      </c>
      <c r="I26">
        <f t="shared" si="0"/>
        <v>0.15338424366347175</v>
      </c>
      <c r="J26">
        <f t="shared" si="1"/>
        <v>5.6549057037235922E-2</v>
      </c>
      <c r="L26" t="s">
        <v>99</v>
      </c>
    </row>
    <row r="27" spans="1:31">
      <c r="A27">
        <f>Entry!B28</f>
        <v>678</v>
      </c>
      <c r="B27" t="str">
        <f>Entry!A28</f>
        <v>Fe 16</v>
      </c>
      <c r="C27">
        <f>Results!K27</f>
        <v>0.15600000000000003</v>
      </c>
      <c r="F27">
        <f>Results!P27</f>
        <v>2.9747915200000016E-2</v>
      </c>
    </row>
    <row r="28" spans="1:31">
      <c r="A28">
        <f>Entry!B29</f>
        <v>679</v>
      </c>
      <c r="B28" t="str">
        <f>Entry!A29</f>
        <v>Fe 17</v>
      </c>
      <c r="C28">
        <f>Results!K28</f>
        <v>0.13600000000000001</v>
      </c>
      <c r="F28">
        <f>Results!P28</f>
        <v>2.7850766399999973E-2</v>
      </c>
    </row>
    <row r="29" spans="1:31">
      <c r="A29">
        <f>Entry!B30</f>
        <v>680</v>
      </c>
      <c r="B29" t="str">
        <f>Entry!A30</f>
        <v>Fe 18</v>
      </c>
      <c r="C29">
        <f>Results!K29</f>
        <v>0.14399999999999999</v>
      </c>
      <c r="D29">
        <f t="shared" si="4"/>
        <v>0.14533333333333334</v>
      </c>
      <c r="E29">
        <f t="shared" si="5"/>
        <v>1.0066445913694344E-2</v>
      </c>
      <c r="F29">
        <f>Results!P29</f>
        <v>2.6964393600000039E-2</v>
      </c>
      <c r="G29">
        <f t="shared" si="2"/>
        <v>2.8187691733333343E-2</v>
      </c>
      <c r="H29">
        <f t="shared" si="3"/>
        <v>1.4220186829285895E-3</v>
      </c>
      <c r="I29">
        <f t="shared" si="0"/>
        <v>0.19395200733944959</v>
      </c>
      <c r="J29">
        <f t="shared" si="1"/>
        <v>1.6619546153616771E-2</v>
      </c>
    </row>
    <row r="30" spans="1:31">
      <c r="A30">
        <f>Entry!B31</f>
        <v>702</v>
      </c>
      <c r="B30" t="str">
        <f>Entry!A31</f>
        <v>control 1</v>
      </c>
      <c r="C30">
        <f>Results!K30</f>
        <v>0.26700000000000002</v>
      </c>
      <c r="F30">
        <f>Results!P30</f>
        <v>7.1143080000000011E-2</v>
      </c>
    </row>
    <row r="31" spans="1:31">
      <c r="A31">
        <f>Entry!B32</f>
        <v>703</v>
      </c>
      <c r="B31" t="str">
        <f>Entry!A32</f>
        <v>control 2</v>
      </c>
      <c r="C31">
        <f>Results!K31</f>
        <v>0.22500000000000001</v>
      </c>
      <c r="F31">
        <f>Results!P31</f>
        <v>4.190832800000005E-2</v>
      </c>
    </row>
    <row r="32" spans="1:31">
      <c r="A32">
        <f>Entry!B33</f>
        <v>704</v>
      </c>
      <c r="B32" t="str">
        <f>Entry!A33</f>
        <v>control 3</v>
      </c>
      <c r="C32">
        <f>Results!K32</f>
        <v>0.19600000000000001</v>
      </c>
      <c r="D32">
        <f t="shared" si="4"/>
        <v>0.22933333333333331</v>
      </c>
      <c r="E32">
        <f t="shared" si="5"/>
        <v>3.5697805721547696E-2</v>
      </c>
      <c r="F32">
        <f>Results!P32</f>
        <v>4.8206240000000046E-2</v>
      </c>
      <c r="G32">
        <f t="shared" si="2"/>
        <v>5.3752549333333371E-2</v>
      </c>
      <c r="H32">
        <f t="shared" si="3"/>
        <v>1.5386319947964843E-2</v>
      </c>
      <c r="I32">
        <f t="shared" si="0"/>
        <v>0.23438611627906997</v>
      </c>
      <c r="J32">
        <f t="shared" si="1"/>
        <v>7.6369996022334116E-2</v>
      </c>
    </row>
    <row r="33" spans="1:10">
      <c r="A33">
        <f>Entry!B34</f>
        <v>705</v>
      </c>
      <c r="B33" t="str">
        <f>Entry!A34</f>
        <v>NO3 4</v>
      </c>
      <c r="C33">
        <f>Results!K33</f>
        <v>0.41200000000000003</v>
      </c>
      <c r="F33">
        <f>Results!P33</f>
        <v>9.6878991999999872E-2</v>
      </c>
    </row>
    <row r="34" spans="1:10">
      <c r="A34">
        <f>Entry!B35</f>
        <v>706</v>
      </c>
      <c r="B34" t="str">
        <f>Entry!A35</f>
        <v>NO3 5</v>
      </c>
      <c r="C34">
        <f>Results!K34</f>
        <v>0.46100000000000008</v>
      </c>
      <c r="F34">
        <f>Results!P34</f>
        <v>0.10535396000000014</v>
      </c>
    </row>
    <row r="35" spans="1:10">
      <c r="A35">
        <f>Entry!B36</f>
        <v>707</v>
      </c>
      <c r="B35" t="str">
        <f>Entry!A36</f>
        <v>NO3 6</v>
      </c>
      <c r="C35">
        <f>Results!K35</f>
        <v>0.4850000000000001</v>
      </c>
      <c r="D35">
        <f t="shared" si="4"/>
        <v>0.45266666666666672</v>
      </c>
      <c r="E35">
        <f t="shared" si="5"/>
        <v>3.720663023351263E-2</v>
      </c>
      <c r="F35">
        <f>Results!P35</f>
        <v>6.5855944E-2</v>
      </c>
      <c r="G35">
        <f t="shared" si="2"/>
        <v>8.9362965333333336E-2</v>
      </c>
      <c r="H35">
        <f t="shared" si="3"/>
        <v>2.0794021006640243E-2</v>
      </c>
      <c r="I35">
        <f t="shared" si="0"/>
        <v>0.1974145036818851</v>
      </c>
      <c r="J35">
        <f t="shared" si="1"/>
        <v>4.8718338863979617E-2</v>
      </c>
    </row>
    <row r="36" spans="1:10">
      <c r="A36">
        <f>Entry!B37</f>
        <v>708</v>
      </c>
      <c r="B36" t="str">
        <f>Entry!A37</f>
        <v>SAMW 7</v>
      </c>
      <c r="C36">
        <f>Results!K36</f>
        <v>0.28100000000000003</v>
      </c>
      <c r="F36">
        <f>Results!P36</f>
        <v>5.823624799999997E-2</v>
      </c>
    </row>
    <row r="37" spans="1:10">
      <c r="A37">
        <f>Entry!B38</f>
        <v>709</v>
      </c>
      <c r="B37" t="str">
        <f>Entry!A38</f>
        <v>SAMW 8</v>
      </c>
      <c r="C37">
        <f>Results!K37</f>
        <v>0.313</v>
      </c>
      <c r="F37">
        <f>Results!P37</f>
        <v>4.968352800000006E-2</v>
      </c>
    </row>
    <row r="38" spans="1:10">
      <c r="A38">
        <f>Entry!B39</f>
        <v>710</v>
      </c>
      <c r="B38" t="str">
        <f>Entry!A39</f>
        <v>SAMW 9</v>
      </c>
      <c r="C38" t="s">
        <v>121</v>
      </c>
      <c r="D38">
        <f t="shared" si="4"/>
        <v>0.29700000000000004</v>
      </c>
      <c r="E38">
        <f t="shared" si="5"/>
        <v>2.2627416997969503E-2</v>
      </c>
      <c r="F38">
        <f>Results!P38</f>
        <v>3.3744368000000038E-2</v>
      </c>
      <c r="G38">
        <f t="shared" si="2"/>
        <v>4.7221381333333347E-2</v>
      </c>
      <c r="H38">
        <f t="shared" si="3"/>
        <v>1.2430191918861662E-2</v>
      </c>
      <c r="I38">
        <f t="shared" si="0"/>
        <v>0.15899454994388329</v>
      </c>
      <c r="J38">
        <f t="shared" si="1"/>
        <v>4.3570201717870072E-2</v>
      </c>
    </row>
    <row r="39" spans="1:10">
      <c r="A39">
        <f>Entry!B40</f>
        <v>711</v>
      </c>
      <c r="B39" t="str">
        <f>Entry!A40</f>
        <v>Si 10</v>
      </c>
      <c r="C39">
        <f>Results!K39</f>
        <v>0.189</v>
      </c>
      <c r="F39">
        <f>Results!P39</f>
        <v>2.9623512000000064E-2</v>
      </c>
    </row>
    <row r="40" spans="1:10">
      <c r="A40">
        <f>Entry!B41</f>
        <v>712</v>
      </c>
      <c r="B40" t="str">
        <f>Entry!A41</f>
        <v>Si 11</v>
      </c>
      <c r="C40">
        <f>Results!K40</f>
        <v>0.13799999999999998</v>
      </c>
      <c r="F40">
        <f>Results!P40</f>
        <v>2.2174870400000036E-2</v>
      </c>
    </row>
    <row r="41" spans="1:10">
      <c r="A41">
        <f>Entry!B42</f>
        <v>713</v>
      </c>
      <c r="B41" t="str">
        <f>Entry!A42</f>
        <v>Si 12</v>
      </c>
      <c r="C41">
        <f>Results!K41</f>
        <v>0.121</v>
      </c>
      <c r="D41">
        <f t="shared" si="4"/>
        <v>0.14933333333333332</v>
      </c>
      <c r="E41">
        <f t="shared" si="5"/>
        <v>3.5388321990924274E-2</v>
      </c>
      <c r="F41">
        <f>Results!P41</f>
        <v>2.6606734400000023E-2</v>
      </c>
      <c r="G41">
        <f t="shared" si="2"/>
        <v>2.6135038933333372E-2</v>
      </c>
      <c r="H41">
        <f t="shared" si="3"/>
        <v>3.7466568939880447E-3</v>
      </c>
      <c r="I41">
        <f t="shared" si="0"/>
        <v>0.17501142142857171</v>
      </c>
      <c r="J41">
        <f t="shared" si="1"/>
        <v>4.8471760699820163E-2</v>
      </c>
    </row>
    <row r="42" spans="1:10">
      <c r="A42">
        <f>Entry!B43</f>
        <v>714</v>
      </c>
      <c r="B42" t="str">
        <f>Entry!A43</f>
        <v>Fe + Si 13</v>
      </c>
      <c r="C42">
        <f>Results!K42</f>
        <v>0.14099999999999999</v>
      </c>
      <c r="F42">
        <f>Results!P42</f>
        <v>2.1350699200000031E-2</v>
      </c>
    </row>
    <row r="43" spans="1:10">
      <c r="A43">
        <f>Entry!B44</f>
        <v>715</v>
      </c>
      <c r="B43" t="str">
        <f>Entry!A44</f>
        <v>Fe + Si 14</v>
      </c>
      <c r="C43">
        <f>Results!K43</f>
        <v>0.15700000000000003</v>
      </c>
      <c r="F43">
        <f>Results!P43</f>
        <v>2.0650931200000024E-2</v>
      </c>
    </row>
    <row r="44" spans="1:10">
      <c r="A44">
        <f>Entry!B45</f>
        <v>716</v>
      </c>
      <c r="B44" t="str">
        <f>Entry!A45</f>
        <v>Fe + Si 15</v>
      </c>
      <c r="C44">
        <f>Results!K44</f>
        <v>0.122</v>
      </c>
      <c r="D44">
        <f t="shared" si="4"/>
        <v>0.14000000000000001</v>
      </c>
      <c r="E44">
        <f t="shared" si="5"/>
        <v>1.7521415467935082E-2</v>
      </c>
      <c r="F44">
        <f>Results!P44</f>
        <v>2.0728683200000014E-2</v>
      </c>
      <c r="G44">
        <f t="shared" si="2"/>
        <v>2.0910104533333359E-2</v>
      </c>
      <c r="H44">
        <f t="shared" si="3"/>
        <v>3.8354150831081921E-4</v>
      </c>
      <c r="I44">
        <f t="shared" si="0"/>
        <v>0.14935788952380968</v>
      </c>
      <c r="J44">
        <f t="shared" si="1"/>
        <v>1.8892272866526061E-2</v>
      </c>
    </row>
    <row r="45" spans="1:10">
      <c r="A45">
        <f>Entry!B46</f>
        <v>717</v>
      </c>
      <c r="B45" t="str">
        <f>Entry!A46</f>
        <v>Fe 16</v>
      </c>
      <c r="C45">
        <f>Results!K45</f>
        <v>0.14099999999999999</v>
      </c>
      <c r="F45">
        <f>Results!P45</f>
        <v>1.3482196800000061E-2</v>
      </c>
    </row>
    <row r="46" spans="1:10">
      <c r="A46">
        <f>Entry!B47</f>
        <v>718</v>
      </c>
      <c r="B46" t="str">
        <f>Entry!A47</f>
        <v>Fe 17</v>
      </c>
      <c r="C46">
        <f>Results!K46</f>
        <v>0.128</v>
      </c>
      <c r="F46">
        <f>Results!P46</f>
        <v>2.0868636800000024E-2</v>
      </c>
    </row>
    <row r="47" spans="1:10">
      <c r="A47">
        <f>Entry!B48</f>
        <v>719</v>
      </c>
      <c r="B47" t="str">
        <f>Entry!A48</f>
        <v>Fe 18</v>
      </c>
      <c r="C47">
        <f>Results!K47</f>
        <v>0.121</v>
      </c>
      <c r="D47">
        <f t="shared" si="4"/>
        <v>0.13</v>
      </c>
      <c r="E47">
        <f t="shared" si="5"/>
        <v>1.0148891565092213E-2</v>
      </c>
      <c r="F47">
        <f>Results!P47</f>
        <v>2.0884187199999998E-2</v>
      </c>
      <c r="G47">
        <f t="shared" si="2"/>
        <v>1.8411673600000029E-2</v>
      </c>
      <c r="H47">
        <f t="shared" si="3"/>
        <v>4.2690592166235494E-3</v>
      </c>
      <c r="I47">
        <f t="shared" si="0"/>
        <v>0.14162825846153868</v>
      </c>
      <c r="J47">
        <f t="shared" si="1"/>
        <v>3.4650323090195022E-2</v>
      </c>
    </row>
    <row r="48" spans="1:10">
      <c r="A48">
        <f>Entry!B49</f>
        <v>720</v>
      </c>
      <c r="B48" t="str">
        <f>Entry!A49</f>
        <v>control 1a</v>
      </c>
      <c r="C48">
        <f>Results!K48</f>
        <v>0.26</v>
      </c>
      <c r="F48">
        <f>Results!P48</f>
        <v>4.5407168000000005E-2</v>
      </c>
    </row>
    <row r="49" spans="1:10">
      <c r="A49">
        <f>Entry!B50</f>
        <v>720</v>
      </c>
      <c r="B49" t="str">
        <f>Entry!A50</f>
        <v>control 1b</v>
      </c>
      <c r="C49">
        <f>Results!K49</f>
        <v>0.27799999999999997</v>
      </c>
      <c r="F49">
        <f>Results!P49</f>
        <v>5.3337872000000001E-2</v>
      </c>
    </row>
    <row r="50" spans="1:10">
      <c r="A50">
        <f>Entry!B51</f>
        <v>720</v>
      </c>
      <c r="B50" t="str">
        <f>Entry!A51</f>
        <v>control 1c</v>
      </c>
      <c r="C50">
        <f>Results!K50</f>
        <v>0.26100000000000001</v>
      </c>
      <c r="F50">
        <f>Results!P50</f>
        <v>5.4193144000000075E-2</v>
      </c>
    </row>
    <row r="51" spans="1:10">
      <c r="A51">
        <f>Entry!B52</f>
        <v>721</v>
      </c>
      <c r="B51" t="str">
        <f>Entry!A52</f>
        <v>control 2</v>
      </c>
      <c r="C51">
        <f>Results!K51</f>
        <v>0.22200000000000003</v>
      </c>
      <c r="F51">
        <f>Results!P51</f>
        <v>2.9856767999999992E-2</v>
      </c>
    </row>
    <row r="52" spans="1:10">
      <c r="A52">
        <f>Entry!B53</f>
        <v>722</v>
      </c>
      <c r="B52" t="str">
        <f>Entry!A53</f>
        <v>control 3</v>
      </c>
      <c r="C52">
        <f>Results!K52</f>
        <v>0.22900000000000001</v>
      </c>
      <c r="D52">
        <f>AVERAGE(C48:C52)</f>
        <v>0.25000000000000006</v>
      </c>
      <c r="E52">
        <f>_xlfn.STDEV.S(C48:C52)</f>
        <v>2.3611437906235173E-2</v>
      </c>
      <c r="F52">
        <f>Results!P52</f>
        <v>2.6979944000000051E-2</v>
      </c>
      <c r="G52">
        <f>AVERAGE(F48:F52)</f>
        <v>4.1954979200000027E-2</v>
      </c>
      <c r="H52">
        <f>_xlfn.STDEV.S(F48:F52)</f>
        <v>1.2863503869087762E-2</v>
      </c>
      <c r="I52">
        <f t="shared" si="0"/>
        <v>0.16781991680000008</v>
      </c>
      <c r="J52">
        <f t="shared" si="1"/>
        <v>5.3839895495398409E-2</v>
      </c>
    </row>
    <row r="53" spans="1:10">
      <c r="A53">
        <f>Entry!B54</f>
        <v>723</v>
      </c>
      <c r="B53" t="str">
        <f>Entry!A54</f>
        <v>NO3 3a</v>
      </c>
      <c r="C53">
        <f>Results!K53</f>
        <v>0.42300000000000004</v>
      </c>
      <c r="F53">
        <f>Results!P53</f>
        <v>1.8271720000000057E-2</v>
      </c>
    </row>
    <row r="54" spans="1:10">
      <c r="A54">
        <f>Entry!B55</f>
        <v>723</v>
      </c>
      <c r="B54" t="str">
        <f>Entry!A55</f>
        <v>NO3 3b</v>
      </c>
      <c r="C54">
        <f>Results!K54</f>
        <v>0.41200000000000003</v>
      </c>
      <c r="F54">
        <f>Results!P54</f>
        <v>9.6878992000000039E-2</v>
      </c>
    </row>
    <row r="55" spans="1:10">
      <c r="A55">
        <f>Entry!B56</f>
        <v>723</v>
      </c>
      <c r="B55" t="str">
        <f>Entry!A56</f>
        <v>NO3 3c</v>
      </c>
      <c r="C55">
        <f>Results!K55</f>
        <v>0.40700000000000003</v>
      </c>
      <c r="F55">
        <f>Results!P55</f>
        <v>5.6525703999999989E-2</v>
      </c>
    </row>
    <row r="56" spans="1:10">
      <c r="A56">
        <f>Entry!B57</f>
        <v>724</v>
      </c>
      <c r="B56" t="str">
        <f>Entry!A57</f>
        <v>NO3 4</v>
      </c>
      <c r="C56">
        <f>Results!K56</f>
        <v>0.41799999999999998</v>
      </c>
      <c r="F56">
        <f>Results!P56</f>
        <v>7.8063008000000211E-2</v>
      </c>
    </row>
    <row r="57" spans="1:10">
      <c r="A57">
        <f>Entry!B58</f>
        <v>725</v>
      </c>
      <c r="B57" t="str">
        <f>Entry!A58</f>
        <v>NO3 5</v>
      </c>
      <c r="C57">
        <f>Results!K57</f>
        <v>0.47599999999999998</v>
      </c>
      <c r="D57">
        <f>AVERAGE(C53:C57)</f>
        <v>0.42720000000000002</v>
      </c>
      <c r="E57">
        <f>_xlfn.STDEV.S(C53:C57)</f>
        <v>2.7941009287425517E-2</v>
      </c>
      <c r="F57">
        <f>Results!P57</f>
        <v>8.6926736000000102E-2</v>
      </c>
      <c r="G57">
        <f>AVERAGE(F53:F57)</f>
        <v>6.7333232000000076E-2</v>
      </c>
      <c r="H57">
        <f>_xlfn.STDEV.S(F53:F57)</f>
        <v>3.1208252302807361E-2</v>
      </c>
      <c r="I57">
        <f t="shared" si="0"/>
        <v>0.15761524344569305</v>
      </c>
      <c r="J57">
        <f t="shared" si="1"/>
        <v>7.3776800494597741E-2</v>
      </c>
    </row>
    <row r="58" spans="1:10">
      <c r="A58">
        <f>Entry!B59</f>
        <v>726</v>
      </c>
      <c r="B58" t="str">
        <f>Entry!A59</f>
        <v>SAMW 7a</v>
      </c>
      <c r="C58">
        <f>Results!K58</f>
        <v>0.24100000000000002</v>
      </c>
      <c r="F58">
        <f>Results!P58</f>
        <v>4.2996856000000014E-2</v>
      </c>
    </row>
    <row r="59" spans="1:10">
      <c r="A59">
        <f>Entry!B60</f>
        <v>726</v>
      </c>
      <c r="B59" t="str">
        <f>Entry!A60</f>
        <v>SAMW 7b</v>
      </c>
      <c r="C59">
        <f>Results!K59</f>
        <v>0.24399999999999999</v>
      </c>
      <c r="F59">
        <f>Results!P59</f>
        <v>5.5048416000000072E-2</v>
      </c>
    </row>
    <row r="60" spans="1:10">
      <c r="A60">
        <f>Entry!B61</f>
        <v>726</v>
      </c>
      <c r="B60" t="str">
        <f>Entry!A61</f>
        <v>SAMW 7c</v>
      </c>
      <c r="C60">
        <f>Results!K60</f>
        <v>0.23599999999999999</v>
      </c>
      <c r="F60">
        <f>Results!P60</f>
        <v>4.1986080000000037E-2</v>
      </c>
    </row>
    <row r="61" spans="1:10">
      <c r="A61">
        <f>Entry!B62</f>
        <v>727</v>
      </c>
      <c r="B61" t="str">
        <f>Entry!A62</f>
        <v>SAMW 8</v>
      </c>
      <c r="C61">
        <f>Results!K61</f>
        <v>0.248</v>
      </c>
      <c r="F61">
        <f>Results!P61</f>
        <v>5.8002992000000003E-2</v>
      </c>
    </row>
    <row r="62" spans="1:10">
      <c r="A62">
        <f>Entry!B63</f>
        <v>728</v>
      </c>
      <c r="B62" t="str">
        <f>Entry!A63</f>
        <v>SAMW 9</v>
      </c>
      <c r="C62">
        <f>Results!K62</f>
        <v>0.15400000000000003</v>
      </c>
      <c r="D62">
        <f>AVERAGE(C58:C62)</f>
        <v>0.22459999999999999</v>
      </c>
      <c r="E62">
        <f>_xlfn.STDEV.S(C58:C62)</f>
        <v>3.9708941058658354E-2</v>
      </c>
      <c r="F62">
        <f>Results!P62</f>
        <v>3.0416582400000038E-2</v>
      </c>
      <c r="G62">
        <f>AVERAGE(F58:F62)</f>
        <v>4.5690185280000031E-2</v>
      </c>
      <c r="H62">
        <f>_xlfn.STDEV.S(F58:F62)</f>
        <v>1.1106744066158671E-2</v>
      </c>
      <c r="I62">
        <f t="shared" si="0"/>
        <v>0.20342914194122899</v>
      </c>
      <c r="J62">
        <f t="shared" si="1"/>
        <v>6.1147149103477856E-2</v>
      </c>
    </row>
    <row r="63" spans="1:10">
      <c r="A63">
        <f>Entry!B64</f>
        <v>729</v>
      </c>
      <c r="B63" t="str">
        <f>Entry!A64</f>
        <v>Si 10 a</v>
      </c>
      <c r="C63">
        <f>Results!K63</f>
        <v>0.191</v>
      </c>
      <c r="F63">
        <f>Results!P63</f>
        <v>3.2889095999999965E-2</v>
      </c>
    </row>
    <row r="64" spans="1:10">
      <c r="A64">
        <f>Entry!B65</f>
        <v>729</v>
      </c>
      <c r="B64" t="str">
        <f>Entry!A65</f>
        <v>Si 10 b</v>
      </c>
      <c r="C64">
        <f>Results!K64</f>
        <v>0.20200000000000001</v>
      </c>
      <c r="F64">
        <f>Results!P64</f>
        <v>3.6543440000000031E-2</v>
      </c>
    </row>
    <row r="65" spans="1:10">
      <c r="A65">
        <f>Entry!B66</f>
        <v>729</v>
      </c>
      <c r="B65" t="str">
        <f>Entry!A66</f>
        <v>Si 10 c</v>
      </c>
      <c r="C65">
        <f>Results!K65</f>
        <v>0.20099999999999998</v>
      </c>
      <c r="F65">
        <f>Results!P65</f>
        <v>3.1334055999999999E-2</v>
      </c>
    </row>
    <row r="66" spans="1:10">
      <c r="A66">
        <f>Entry!B67</f>
        <v>730</v>
      </c>
      <c r="B66" t="str">
        <f>Entry!A67</f>
        <v>Si 11</v>
      </c>
      <c r="C66">
        <f>Results!K66</f>
        <v>0.14899999999999999</v>
      </c>
      <c r="F66">
        <f>Results!P66</f>
        <v>2.0106667199999997E-2</v>
      </c>
    </row>
    <row r="67" spans="1:10">
      <c r="A67">
        <f>Entry!B68</f>
        <v>731</v>
      </c>
      <c r="B67" t="str">
        <f>Entry!A68</f>
        <v>Si 12</v>
      </c>
      <c r="C67">
        <f>Results!K67</f>
        <v>0.129</v>
      </c>
      <c r="D67">
        <f>AVERAGE(C63:C67)</f>
        <v>0.1744</v>
      </c>
      <c r="E67">
        <f>_xlfn.STDEV.S(C63:C67)</f>
        <v>3.3358657047309281E-2</v>
      </c>
      <c r="F67">
        <f>Results!P67</f>
        <v>2.1786110399999992E-2</v>
      </c>
      <c r="G67">
        <f>AVERAGE(F63:F67)</f>
        <v>2.8531873919999996E-2</v>
      </c>
      <c r="H67">
        <f>_xlfn.STDEV.S(F63:F67)</f>
        <v>7.2026424571232234E-3</v>
      </c>
      <c r="I67">
        <f t="shared" si="0"/>
        <v>0.16360019449541283</v>
      </c>
      <c r="J67">
        <f t="shared" si="1"/>
        <v>5.18160132668238E-2</v>
      </c>
    </row>
    <row r="68" spans="1:10">
      <c r="A68">
        <f>Entry!B69</f>
        <v>732</v>
      </c>
      <c r="B68" t="str">
        <f>Entry!A69</f>
        <v>Fe + Si 13a</v>
      </c>
      <c r="C68">
        <f>Results!K68</f>
        <v>0.14299999999999999</v>
      </c>
      <c r="F68">
        <f>Results!P68</f>
        <v>2.068203200000001E-2</v>
      </c>
    </row>
    <row r="69" spans="1:10">
      <c r="A69">
        <f>Entry!B70</f>
        <v>732</v>
      </c>
      <c r="B69" t="str">
        <f>Entry!A70</f>
        <v>Fe + Si 13b</v>
      </c>
      <c r="C69">
        <f>Results!K69</f>
        <v>0.15100000000000002</v>
      </c>
      <c r="F69">
        <f>Results!P69</f>
        <v>2.551820640000001E-2</v>
      </c>
    </row>
    <row r="70" spans="1:10">
      <c r="A70">
        <f>Entry!B71</f>
        <v>732</v>
      </c>
      <c r="B70" t="str">
        <f>Entry!A71</f>
        <v>Fe + Si 13c</v>
      </c>
      <c r="C70">
        <f>Results!K70</f>
        <v>0.15400000000000003</v>
      </c>
      <c r="F70">
        <f>Results!P70</f>
        <v>3.3635515200000014E-2</v>
      </c>
    </row>
    <row r="71" spans="1:10">
      <c r="A71">
        <f>Entry!B72</f>
        <v>733</v>
      </c>
      <c r="B71" t="str">
        <f>Entry!A72</f>
        <v>Fe + Si 14</v>
      </c>
      <c r="C71">
        <f>Results!K71</f>
        <v>0.15400000000000003</v>
      </c>
      <c r="F71">
        <f>Results!P71</f>
        <v>1.9686806400000006E-2</v>
      </c>
    </row>
    <row r="72" spans="1:10">
      <c r="A72">
        <f>Entry!B73</f>
        <v>734</v>
      </c>
      <c r="B72" t="str">
        <f>Entry!A73</f>
        <v>Fe + Si 15</v>
      </c>
      <c r="C72">
        <f>Results!K72</f>
        <v>0.13400000000000001</v>
      </c>
      <c r="D72">
        <f>AVERAGE(C68:C72)</f>
        <v>0.14720000000000003</v>
      </c>
      <c r="E72">
        <f>_xlfn.STDEV.S(C68:C72)</f>
        <v>8.6429161745327707E-3</v>
      </c>
      <c r="F72">
        <f>Results!P72</f>
        <v>2.3512204799999992E-2</v>
      </c>
      <c r="G72">
        <f>AVERAGE(F68:F72)</f>
        <v>2.4606952960000004E-2</v>
      </c>
      <c r="H72">
        <f>_xlfn.STDEV.S(F68:F72)</f>
        <v>5.5487980500603887E-3</v>
      </c>
      <c r="I72">
        <f t="shared" ref="I71:I77" si="6">G72/D72</f>
        <v>0.1671668</v>
      </c>
      <c r="J72">
        <f t="shared" ref="J71:J77" si="7">(SQRT((E72/D72)^2+(H72/G72)^2))*I72</f>
        <v>3.8952545985121149E-2</v>
      </c>
    </row>
    <row r="73" spans="1:10">
      <c r="A73">
        <f>Entry!B74</f>
        <v>735</v>
      </c>
      <c r="B73" t="str">
        <f>Entry!A74</f>
        <v>Fe 16a</v>
      </c>
      <c r="C73">
        <f>Results!K73</f>
        <v>0.13999999999999999</v>
      </c>
      <c r="F73">
        <f>Results!P73</f>
        <v>2.5798113600000033E-2</v>
      </c>
    </row>
    <row r="74" spans="1:10">
      <c r="A74">
        <f>Entry!B75</f>
        <v>735</v>
      </c>
      <c r="B74" t="str">
        <f>Entry!A75</f>
        <v>Fe 16b</v>
      </c>
      <c r="C74">
        <f>Results!K74</f>
        <v>0.15100000000000002</v>
      </c>
      <c r="F74">
        <f>Results!P74</f>
        <v>3.2313731200000036E-2</v>
      </c>
    </row>
    <row r="75" spans="1:10">
      <c r="A75">
        <f>Entry!B76</f>
        <v>735</v>
      </c>
      <c r="B75" t="str">
        <f>Entry!A76</f>
        <v>Fe 16c</v>
      </c>
      <c r="C75">
        <f>Results!K75</f>
        <v>0.14899999999999999</v>
      </c>
      <c r="F75">
        <f>Results!P75</f>
        <v>1.7245393600000027E-2</v>
      </c>
    </row>
    <row r="76" spans="1:10">
      <c r="A76">
        <f>Entry!B77</f>
        <v>736</v>
      </c>
      <c r="B76" t="str">
        <f>Entry!A77</f>
        <v>Fe 17</v>
      </c>
      <c r="C76">
        <f>Results!K76</f>
        <v>0.15300000000000002</v>
      </c>
      <c r="F76">
        <f>Results!P76</f>
        <v>2.0557628800000016E-2</v>
      </c>
    </row>
    <row r="77" spans="1:10">
      <c r="A77">
        <f>Entry!B78</f>
        <v>737</v>
      </c>
      <c r="B77" t="str">
        <f>Entry!A78</f>
        <v>Fe 18</v>
      </c>
      <c r="C77">
        <f>Results!K77</f>
        <v>0.15300000000000002</v>
      </c>
      <c r="D77">
        <f>AVERAGE(C73:C77)</f>
        <v>0.14920000000000003</v>
      </c>
      <c r="E77">
        <f>_xlfn.STDEV.S(C73:C77)</f>
        <v>5.4037024344425356E-3</v>
      </c>
      <c r="F77">
        <f>Results!P77</f>
        <v>2.2703584000000002E-2</v>
      </c>
      <c r="G77">
        <f>AVERAGE(F73:F77)</f>
        <v>2.3723690240000022E-2</v>
      </c>
      <c r="H77">
        <f>_xlfn.STDEV.S(F73:F77)</f>
        <v>5.7254896102771997E-3</v>
      </c>
      <c r="I77">
        <f t="shared" si="6"/>
        <v>0.15900596675603229</v>
      </c>
      <c r="J77">
        <f t="shared" si="7"/>
        <v>3.8804303276065544E-2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Entry</vt:lpstr>
      <vt:lpstr>Results</vt:lpstr>
      <vt:lpstr>simbios</vt:lpstr>
      <vt:lpstr>stn info</vt:lpstr>
      <vt:lpstr>stats and calculations</vt:lpstr>
      <vt:lpstr>mean chl vs time</vt:lpstr>
      <vt:lpstr>mean pheo vs time</vt:lpstr>
      <vt:lpstr>pheo ove chl vs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2020-03-02T10:44:01Z</dcterms:modified>
</cp:coreProperties>
</file>