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S:\Balch lab\chl data\"/>
    </mc:Choice>
  </mc:AlternateContent>
  <bookViews>
    <workbookView xWindow="0" yWindow="0" windowWidth="19200" windowHeight="8440"/>
  </bookViews>
  <sheets>
    <sheet name="Entry" sheetId="2" r:id="rId1"/>
    <sheet name="Results" sheetId="1" r:id="rId2"/>
    <sheet name="simbios" sheetId="3" r:id="rId3"/>
    <sheet name="stn info" sheetId="4" r:id="rId4"/>
    <sheet name="stats and calculations" sheetId="5" r:id="rId5"/>
    <sheet name="mean chl vs time" sheetId="9" r:id="rId6"/>
    <sheet name="mean pheo vs time" sheetId="8" r:id="rId7"/>
    <sheet name="mean pheo over chl vs time" sheetId="12" r:id="rId8"/>
  </sheets>
  <externalReferences>
    <externalReference r:id="rId9"/>
    <externalReference r:id="rId10"/>
  </externalReferences>
  <calcPr calcId="162913"/>
</workbook>
</file>

<file path=xl/calcChain.xml><?xml version="1.0" encoding="utf-8"?>
<calcChain xmlns="http://schemas.openxmlformats.org/spreadsheetml/2006/main">
  <c r="P60" i="1" l="1"/>
  <c r="F60" i="5" s="1"/>
  <c r="L44" i="1"/>
  <c r="L60" i="1"/>
  <c r="K50" i="1"/>
  <c r="K58" i="1"/>
  <c r="C58" i="5" s="1"/>
  <c r="J44" i="1"/>
  <c r="J45" i="1"/>
  <c r="J46" i="1"/>
  <c r="J47" i="1"/>
  <c r="J48" i="1"/>
  <c r="J49" i="1"/>
  <c r="P49" i="1" s="1"/>
  <c r="J50" i="1"/>
  <c r="J51" i="1"/>
  <c r="J52" i="1"/>
  <c r="J53" i="1"/>
  <c r="J54" i="1"/>
  <c r="J55" i="1"/>
  <c r="J56" i="1"/>
  <c r="J57" i="1"/>
  <c r="J58" i="1"/>
  <c r="P58" i="1" s="1"/>
  <c r="F58" i="5" s="1"/>
  <c r="J59" i="1"/>
  <c r="J60" i="1"/>
  <c r="J61" i="1"/>
  <c r="H44" i="1"/>
  <c r="P44" i="1" s="1"/>
  <c r="H46" i="1"/>
  <c r="H48" i="1"/>
  <c r="H49" i="1"/>
  <c r="H50" i="1"/>
  <c r="O50" i="1" s="1"/>
  <c r="H52" i="1"/>
  <c r="H54" i="1"/>
  <c r="H58" i="1"/>
  <c r="O58" i="1" s="1"/>
  <c r="Q58" i="1" s="1"/>
  <c r="H60" i="1"/>
  <c r="G44" i="1"/>
  <c r="O44" i="1" s="1"/>
  <c r="G49" i="1"/>
  <c r="L49" i="1" s="1"/>
  <c r="G50" i="1"/>
  <c r="L50" i="1" s="1"/>
  <c r="G54" i="1"/>
  <c r="G56" i="1"/>
  <c r="G58" i="1"/>
  <c r="L58" i="1" s="1"/>
  <c r="G60" i="1"/>
  <c r="O60" i="1" s="1"/>
  <c r="D44" i="1"/>
  <c r="D46" i="1"/>
  <c r="D48" i="1"/>
  <c r="D50" i="1"/>
  <c r="D52" i="1"/>
  <c r="D54" i="1"/>
  <c r="D56" i="1"/>
  <c r="D58" i="1"/>
  <c r="D60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H3" i="1"/>
  <c r="H4" i="1"/>
  <c r="H5" i="1"/>
  <c r="H9" i="1"/>
  <c r="H10" i="1"/>
  <c r="H11" i="1"/>
  <c r="H12" i="1"/>
  <c r="H13" i="1"/>
  <c r="P13" i="1" s="1"/>
  <c r="F13" i="5" s="1"/>
  <c r="H15" i="1"/>
  <c r="H16" i="1"/>
  <c r="H17" i="1"/>
  <c r="H18" i="1"/>
  <c r="H19" i="1"/>
  <c r="H20" i="1"/>
  <c r="H21" i="1"/>
  <c r="H22" i="1"/>
  <c r="H23" i="1"/>
  <c r="H24" i="1"/>
  <c r="H27" i="1"/>
  <c r="H30" i="1"/>
  <c r="H33" i="1"/>
  <c r="H41" i="1"/>
  <c r="H42" i="1"/>
  <c r="G3" i="1"/>
  <c r="G4" i="1"/>
  <c r="K4" i="1" s="1"/>
  <c r="G5" i="1"/>
  <c r="G9" i="1"/>
  <c r="G10" i="1"/>
  <c r="G11" i="1"/>
  <c r="G12" i="1"/>
  <c r="G13" i="1"/>
  <c r="G15" i="1"/>
  <c r="G16" i="1"/>
  <c r="G17" i="1"/>
  <c r="G18" i="1"/>
  <c r="G19" i="1"/>
  <c r="G20" i="1"/>
  <c r="G21" i="1"/>
  <c r="G22" i="1"/>
  <c r="G23" i="1"/>
  <c r="G24" i="1"/>
  <c r="G30" i="1"/>
  <c r="G34" i="1"/>
  <c r="L34" i="1" s="1"/>
  <c r="G42" i="1"/>
  <c r="I45" i="2"/>
  <c r="H45" i="2"/>
  <c r="I46" i="2"/>
  <c r="H45" i="1" s="1"/>
  <c r="I47" i="2"/>
  <c r="I48" i="2"/>
  <c r="H47" i="1" s="1"/>
  <c r="I49" i="2"/>
  <c r="I52" i="2"/>
  <c r="H51" i="1" s="1"/>
  <c r="I53" i="2"/>
  <c r="I54" i="2"/>
  <c r="H53" i="1" s="1"/>
  <c r="I56" i="2"/>
  <c r="H55" i="1" s="1"/>
  <c r="I57" i="2"/>
  <c r="H56" i="1" s="1"/>
  <c r="I58" i="2"/>
  <c r="H57" i="1" s="1"/>
  <c r="I59" i="2"/>
  <c r="I60" i="2"/>
  <c r="H59" i="1" s="1"/>
  <c r="I62" i="2"/>
  <c r="H61" i="1" s="1"/>
  <c r="H46" i="2"/>
  <c r="G45" i="1" s="1"/>
  <c r="H47" i="2"/>
  <c r="G46" i="1" s="1"/>
  <c r="H48" i="2"/>
  <c r="G47" i="1" s="1"/>
  <c r="H49" i="2"/>
  <c r="G48" i="1" s="1"/>
  <c r="H52" i="2"/>
  <c r="G51" i="1" s="1"/>
  <c r="H53" i="2"/>
  <c r="G52" i="1" s="1"/>
  <c r="P52" i="1" s="1"/>
  <c r="F52" i="5" s="1"/>
  <c r="H54" i="2"/>
  <c r="G53" i="1" s="1"/>
  <c r="H56" i="2"/>
  <c r="G55" i="1" s="1"/>
  <c r="H57" i="2"/>
  <c r="H58" i="2"/>
  <c r="G57" i="1" s="1"/>
  <c r="H59" i="2"/>
  <c r="H60" i="2"/>
  <c r="G59" i="1" s="1"/>
  <c r="H62" i="2"/>
  <c r="G61" i="1" s="1"/>
  <c r="D46" i="2"/>
  <c r="D45" i="1" s="1"/>
  <c r="D47" i="2"/>
  <c r="D48" i="2"/>
  <c r="D47" i="1" s="1"/>
  <c r="D49" i="2"/>
  <c r="D50" i="2"/>
  <c r="D49" i="1" s="1"/>
  <c r="D51" i="2"/>
  <c r="D52" i="2"/>
  <c r="D51" i="1" s="1"/>
  <c r="D53" i="2"/>
  <c r="D54" i="2"/>
  <c r="D53" i="1" s="1"/>
  <c r="D55" i="2"/>
  <c r="D56" i="2"/>
  <c r="D55" i="1" s="1"/>
  <c r="D57" i="2"/>
  <c r="D58" i="2"/>
  <c r="D57" i="1" s="1"/>
  <c r="D59" i="2"/>
  <c r="D60" i="2"/>
  <c r="D59" i="1" s="1"/>
  <c r="D61" i="2"/>
  <c r="D62" i="2"/>
  <c r="D61" i="1" s="1"/>
  <c r="D45" i="2"/>
  <c r="E4" i="5"/>
  <c r="F49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A8" i="5"/>
  <c r="A26" i="5"/>
  <c r="B2" i="5"/>
  <c r="A2" i="5"/>
  <c r="AE5" i="5"/>
  <c r="AE23" i="5" s="1"/>
  <c r="AD5" i="5"/>
  <c r="AC5" i="5"/>
  <c r="AC23" i="5" s="1"/>
  <c r="AB5" i="5"/>
  <c r="AA5" i="5"/>
  <c r="AA23" i="5"/>
  <c r="Z5" i="5"/>
  <c r="Z23" i="5" s="1"/>
  <c r="AE4" i="5"/>
  <c r="AE22" i="5"/>
  <c r="AD4" i="5"/>
  <c r="AD22" i="5" s="1"/>
  <c r="AC4" i="5"/>
  <c r="AC22" i="5" s="1"/>
  <c r="AB4" i="5"/>
  <c r="AA4" i="5"/>
  <c r="AA22" i="5" s="1"/>
  <c r="Z4" i="5"/>
  <c r="AE3" i="5"/>
  <c r="AD3" i="5"/>
  <c r="AD21" i="5" s="1"/>
  <c r="AC3" i="5"/>
  <c r="AB3" i="5"/>
  <c r="AB21" i="5"/>
  <c r="AA3" i="5"/>
  <c r="Z3" i="5"/>
  <c r="Z21" i="5"/>
  <c r="AE2" i="5"/>
  <c r="AE20" i="5" s="1"/>
  <c r="AD2" i="5"/>
  <c r="AD20" i="5" s="1"/>
  <c r="AC2" i="5"/>
  <c r="AC20" i="5"/>
  <c r="AB2" i="5"/>
  <c r="AB20" i="5" s="1"/>
  <c r="AA2" i="5"/>
  <c r="Z2" i="5"/>
  <c r="Z20" i="5" s="1"/>
  <c r="AC21" i="5"/>
  <c r="Z22" i="5"/>
  <c r="AB23" i="5"/>
  <c r="AA20" i="5"/>
  <c r="AA21" i="5"/>
  <c r="AE21" i="5"/>
  <c r="AB22" i="5"/>
  <c r="AD23" i="5"/>
  <c r="P42" i="1"/>
  <c r="F42" i="5" s="1"/>
  <c r="L38" i="1"/>
  <c r="L42" i="1"/>
  <c r="J38" i="1"/>
  <c r="J39" i="1"/>
  <c r="J40" i="1"/>
  <c r="J41" i="1"/>
  <c r="P41" i="1" s="1"/>
  <c r="J42" i="1"/>
  <c r="J43" i="1"/>
  <c r="P43" i="1" s="1"/>
  <c r="F43" i="5" s="1"/>
  <c r="D39" i="1"/>
  <c r="D43" i="1"/>
  <c r="C38" i="1"/>
  <c r="C39" i="1"/>
  <c r="C40" i="1"/>
  <c r="C41" i="1"/>
  <c r="C42" i="1"/>
  <c r="C43" i="1"/>
  <c r="I28" i="2"/>
  <c r="I29" i="2"/>
  <c r="H28" i="1" s="1"/>
  <c r="I30" i="2"/>
  <c r="H29" i="1" s="1"/>
  <c r="I32" i="2"/>
  <c r="H31" i="1" s="1"/>
  <c r="I33" i="2"/>
  <c r="H32" i="1" s="1"/>
  <c r="I34" i="2"/>
  <c r="I35" i="2"/>
  <c r="H34" i="1" s="1"/>
  <c r="I36" i="2"/>
  <c r="H35" i="1" s="1"/>
  <c r="I37" i="2"/>
  <c r="H36" i="1" s="1"/>
  <c r="I38" i="2"/>
  <c r="H37" i="1" s="1"/>
  <c r="I39" i="2"/>
  <c r="H38" i="1" s="1"/>
  <c r="I40" i="2"/>
  <c r="H39" i="1" s="1"/>
  <c r="I41" i="2"/>
  <c r="H40" i="1" s="1"/>
  <c r="I42" i="2"/>
  <c r="I44" i="2"/>
  <c r="H43" i="1" s="1"/>
  <c r="I27" i="2"/>
  <c r="H26" i="1" s="1"/>
  <c r="H28" i="2"/>
  <c r="G27" i="1" s="1"/>
  <c r="H29" i="2"/>
  <c r="G28" i="1" s="1"/>
  <c r="H30" i="2"/>
  <c r="G29" i="1" s="1"/>
  <c r="H32" i="2"/>
  <c r="G31" i="1" s="1"/>
  <c r="H33" i="2"/>
  <c r="G32" i="1" s="1"/>
  <c r="H34" i="2"/>
  <c r="G33" i="1" s="1"/>
  <c r="H35" i="2"/>
  <c r="H36" i="2"/>
  <c r="G35" i="1" s="1"/>
  <c r="H37" i="2"/>
  <c r="G36" i="1" s="1"/>
  <c r="L36" i="1" s="1"/>
  <c r="H38" i="2"/>
  <c r="G37" i="1" s="1"/>
  <c r="H39" i="2"/>
  <c r="G38" i="1" s="1"/>
  <c r="H40" i="2"/>
  <c r="G39" i="1" s="1"/>
  <c r="H41" i="2"/>
  <c r="G40" i="1" s="1"/>
  <c r="H42" i="2"/>
  <c r="G41" i="1" s="1"/>
  <c r="O41" i="1" s="1"/>
  <c r="Q41" i="1" s="1"/>
  <c r="H44" i="2"/>
  <c r="G43" i="1" s="1"/>
  <c r="H27" i="2"/>
  <c r="G26" i="1" s="1"/>
  <c r="I7" i="2"/>
  <c r="H6" i="1" s="1"/>
  <c r="I8" i="2"/>
  <c r="H7" i="1" s="1"/>
  <c r="L7" i="1" s="1"/>
  <c r="I9" i="2"/>
  <c r="H8" i="1" s="1"/>
  <c r="I15" i="2"/>
  <c r="H14" i="1" s="1"/>
  <c r="I26" i="2"/>
  <c r="H25" i="1" s="1"/>
  <c r="L25" i="1" s="1"/>
  <c r="H7" i="2"/>
  <c r="G6" i="1" s="1"/>
  <c r="H8" i="2"/>
  <c r="G7" i="1" s="1"/>
  <c r="H9" i="2"/>
  <c r="G8" i="1" s="1"/>
  <c r="L8" i="1" s="1"/>
  <c r="H15" i="2"/>
  <c r="G14" i="1" s="1"/>
  <c r="H26" i="2"/>
  <c r="G25" i="1" s="1"/>
  <c r="I3" i="2"/>
  <c r="H2" i="1" s="1"/>
  <c r="H3" i="2"/>
  <c r="G2" i="1" s="1"/>
  <c r="K2" i="1" s="1"/>
  <c r="C2" i="5" s="1"/>
  <c r="D28" i="2"/>
  <c r="D29" i="2"/>
  <c r="D30" i="2"/>
  <c r="D31" i="2"/>
  <c r="D32" i="2"/>
  <c r="D33" i="2"/>
  <c r="D34" i="2"/>
  <c r="D35" i="2"/>
  <c r="D36" i="2"/>
  <c r="D37" i="2"/>
  <c r="D38" i="2"/>
  <c r="D39" i="2"/>
  <c r="D38" i="1" s="1"/>
  <c r="D40" i="2"/>
  <c r="D41" i="2"/>
  <c r="D40" i="1" s="1"/>
  <c r="D42" i="2"/>
  <c r="D41" i="1" s="1"/>
  <c r="D43" i="2"/>
  <c r="D42" i="1" s="1"/>
  <c r="D44" i="2"/>
  <c r="D2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7" i="2"/>
  <c r="D6" i="2"/>
  <c r="K43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" i="1"/>
  <c r="J4" i="1"/>
  <c r="J2" i="1"/>
  <c r="K3" i="1"/>
  <c r="C3" i="5" s="1"/>
  <c r="C4" i="5"/>
  <c r="K5" i="1"/>
  <c r="C43" i="5"/>
  <c r="L6" i="1"/>
  <c r="L10" i="1"/>
  <c r="L12" i="1"/>
  <c r="L15" i="1"/>
  <c r="L16" i="1"/>
  <c r="L18" i="1"/>
  <c r="N19" i="1" s="1"/>
  <c r="L19" i="1"/>
  <c r="L20" i="1"/>
  <c r="L22" i="1"/>
  <c r="L23" i="1"/>
  <c r="N25" i="1" s="1"/>
  <c r="L24" i="1"/>
  <c r="L28" i="1"/>
  <c r="L30" i="1"/>
  <c r="L31" i="1"/>
  <c r="L35" i="1"/>
  <c r="D3" i="1"/>
  <c r="D4" i="1"/>
  <c r="D5" i="1"/>
  <c r="D6" i="1"/>
  <c r="D7" i="1"/>
  <c r="D8" i="1"/>
  <c r="D9" i="1"/>
  <c r="B53" i="3" s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2" i="1"/>
  <c r="C3" i="1"/>
  <c r="C4" i="1"/>
  <c r="C5" i="1"/>
  <c r="A41" i="3" s="1"/>
  <c r="C6" i="1"/>
  <c r="C7" i="1"/>
  <c r="C8" i="1"/>
  <c r="C9" i="1"/>
  <c r="A53" i="3" s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2" i="1"/>
  <c r="A2" i="1"/>
  <c r="L4" i="1"/>
  <c r="L3" i="1"/>
  <c r="S2" i="5"/>
  <c r="U2" i="5"/>
  <c r="Q2" i="5"/>
  <c r="W2" i="5"/>
  <c r="M2" i="5"/>
  <c r="V2" i="5"/>
  <c r="K18" i="1"/>
  <c r="K10" i="1"/>
  <c r="C10" i="5"/>
  <c r="L37" i="1"/>
  <c r="L33" i="1"/>
  <c r="L29" i="1"/>
  <c r="N31" i="1" s="1"/>
  <c r="L21" i="1"/>
  <c r="N22" i="1" s="1"/>
  <c r="L17" i="1"/>
  <c r="L13" i="1"/>
  <c r="N13" i="1" s="1"/>
  <c r="L5" i="1"/>
  <c r="N7" i="1"/>
  <c r="K33" i="1"/>
  <c r="C33" i="5" s="1"/>
  <c r="K25" i="1"/>
  <c r="C25" i="5" s="1"/>
  <c r="K17" i="1"/>
  <c r="C17" i="5"/>
  <c r="K9" i="1"/>
  <c r="C9" i="5" s="1"/>
  <c r="K30" i="1"/>
  <c r="C30" i="5"/>
  <c r="K22" i="1"/>
  <c r="C22" i="5" s="1"/>
  <c r="K6" i="1"/>
  <c r="C6" i="5" s="1"/>
  <c r="K37" i="1"/>
  <c r="C37" i="5"/>
  <c r="K29" i="1"/>
  <c r="C29" i="5" s="1"/>
  <c r="E31" i="5" s="1"/>
  <c r="R4" i="5" s="1"/>
  <c r="K21" i="1"/>
  <c r="C21" i="5"/>
  <c r="K13" i="1"/>
  <c r="C13" i="5" s="1"/>
  <c r="K35" i="1"/>
  <c r="K31" i="1"/>
  <c r="C31" i="5"/>
  <c r="K27" i="1"/>
  <c r="C27" i="5" s="1"/>
  <c r="K23" i="1"/>
  <c r="C23" i="5"/>
  <c r="K19" i="1"/>
  <c r="C19" i="5" s="1"/>
  <c r="K15" i="1"/>
  <c r="C15" i="5"/>
  <c r="K11" i="1"/>
  <c r="C11" i="5" s="1"/>
  <c r="K7" i="1"/>
  <c r="C7" i="5"/>
  <c r="L27" i="1"/>
  <c r="L11" i="1"/>
  <c r="K36" i="1"/>
  <c r="C36" i="5" s="1"/>
  <c r="K28" i="1"/>
  <c r="C28" i="5" s="1"/>
  <c r="K24" i="1"/>
  <c r="C24" i="5"/>
  <c r="K20" i="1"/>
  <c r="C20" i="5" s="1"/>
  <c r="D22" i="5" s="1"/>
  <c r="K16" i="1"/>
  <c r="C16" i="5"/>
  <c r="K12" i="1"/>
  <c r="K8" i="1"/>
  <c r="C8" i="5"/>
  <c r="D10" i="5"/>
  <c r="P3" i="1"/>
  <c r="F3" i="5"/>
  <c r="O5" i="1"/>
  <c r="L2" i="1"/>
  <c r="P2" i="1"/>
  <c r="F2" i="5"/>
  <c r="O3" i="1"/>
  <c r="O2" i="1"/>
  <c r="B4" i="2"/>
  <c r="A3" i="5" s="1"/>
  <c r="E22" i="5"/>
  <c r="V20" i="5" s="1"/>
  <c r="B5" i="2"/>
  <c r="A4" i="5" s="1"/>
  <c r="A3" i="1"/>
  <c r="Q3" i="1"/>
  <c r="M10" i="1"/>
  <c r="M31" i="1"/>
  <c r="M22" i="1"/>
  <c r="M4" i="1"/>
  <c r="M25" i="1"/>
  <c r="P5" i="1"/>
  <c r="Q2" i="1"/>
  <c r="O4" i="1"/>
  <c r="U4" i="1"/>
  <c r="P4" i="1"/>
  <c r="B48" i="3"/>
  <c r="A1" i="4"/>
  <c r="D45" i="3"/>
  <c r="D57" i="3"/>
  <c r="C57" i="3"/>
  <c r="D55" i="3"/>
  <c r="C55" i="3"/>
  <c r="B7" i="4"/>
  <c r="C6" i="4"/>
  <c r="C44" i="3"/>
  <c r="D43" i="3"/>
  <c r="B4" i="4"/>
  <c r="B3" i="4"/>
  <c r="C2" i="4"/>
  <c r="C35" i="3"/>
  <c r="B1" i="4"/>
  <c r="A2" i="4"/>
  <c r="B57" i="3"/>
  <c r="B54" i="3"/>
  <c r="B51" i="3"/>
  <c r="B45" i="3"/>
  <c r="B40" i="3"/>
  <c r="B39" i="3"/>
  <c r="B37" i="3"/>
  <c r="B36" i="3"/>
  <c r="B33" i="3"/>
  <c r="F33" i="3"/>
  <c r="F34" i="3"/>
  <c r="F32" i="3"/>
  <c r="B58" i="3"/>
  <c r="B52" i="3"/>
  <c r="B50" i="3"/>
  <c r="B49" i="3"/>
  <c r="B47" i="3"/>
  <c r="B46" i="3"/>
  <c r="B44" i="3"/>
  <c r="B43" i="3"/>
  <c r="B42" i="3"/>
  <c r="B38" i="3"/>
  <c r="B35" i="3"/>
  <c r="B34" i="3"/>
  <c r="B32" i="3"/>
  <c r="B56" i="3"/>
  <c r="B55" i="3"/>
  <c r="S4" i="1"/>
  <c r="F4" i="5"/>
  <c r="B6" i="2"/>
  <c r="A5" i="5" s="1"/>
  <c r="A4" i="1"/>
  <c r="P6" i="1"/>
  <c r="F6" i="5" s="1"/>
  <c r="O6" i="1"/>
  <c r="A33" i="3"/>
  <c r="D56" i="3"/>
  <c r="D53" i="3"/>
  <c r="D54" i="3"/>
  <c r="C8" i="4"/>
  <c r="C58" i="3"/>
  <c r="B9" i="4"/>
  <c r="C56" i="3"/>
  <c r="C52" i="3"/>
  <c r="D36" i="3"/>
  <c r="C43" i="3"/>
  <c r="C42" i="3"/>
  <c r="B2" i="4"/>
  <c r="C37" i="3"/>
  <c r="F35" i="3"/>
  <c r="F36" i="3"/>
  <c r="F37" i="3"/>
  <c r="A54" i="3"/>
  <c r="A48" i="3"/>
  <c r="A43" i="3"/>
  <c r="D48" i="3"/>
  <c r="D49" i="3"/>
  <c r="D47" i="3"/>
  <c r="D44" i="3"/>
  <c r="D46" i="3"/>
  <c r="C5" i="4"/>
  <c r="D41" i="3"/>
  <c r="C45" i="3"/>
  <c r="C46" i="3"/>
  <c r="C41" i="3"/>
  <c r="C38" i="3"/>
  <c r="C40" i="3"/>
  <c r="C39" i="3"/>
  <c r="C36" i="3"/>
  <c r="C33" i="3"/>
  <c r="C34" i="3"/>
  <c r="A55" i="3"/>
  <c r="A50" i="3"/>
  <c r="A44" i="3"/>
  <c r="A39" i="3"/>
  <c r="A34" i="3"/>
  <c r="A58" i="3"/>
  <c r="A52" i="3"/>
  <c r="A47" i="3"/>
  <c r="A42" i="3"/>
  <c r="A36" i="3"/>
  <c r="A56" i="3"/>
  <c r="A51" i="3"/>
  <c r="A46" i="3"/>
  <c r="A40" i="3"/>
  <c r="C4" i="4"/>
  <c r="B5" i="4"/>
  <c r="D37" i="3"/>
  <c r="A15" i="3"/>
  <c r="D35" i="3"/>
  <c r="D42" i="3"/>
  <c r="D34" i="3"/>
  <c r="D33" i="3"/>
  <c r="C1" i="4"/>
  <c r="C7" i="4"/>
  <c r="D52" i="3"/>
  <c r="D50" i="3"/>
  <c r="D58" i="3"/>
  <c r="C9" i="4"/>
  <c r="C50" i="3"/>
  <c r="C51" i="3"/>
  <c r="D51" i="3"/>
  <c r="C3" i="4"/>
  <c r="D40" i="3"/>
  <c r="D38" i="3"/>
  <c r="D39" i="3"/>
  <c r="C48" i="3"/>
  <c r="C49" i="3"/>
  <c r="C47" i="3"/>
  <c r="B8" i="4"/>
  <c r="C54" i="3"/>
  <c r="C53" i="3"/>
  <c r="B6" i="4"/>
  <c r="A57" i="3"/>
  <c r="A49" i="3"/>
  <c r="A45" i="3"/>
  <c r="B7" i="2"/>
  <c r="A5" i="1"/>
  <c r="P7" i="1"/>
  <c r="O7" i="1"/>
  <c r="Q6" i="1"/>
  <c r="F45" i="3"/>
  <c r="F39" i="3"/>
  <c r="A4" i="4"/>
  <c r="F40" i="3"/>
  <c r="F41" i="3"/>
  <c r="F46" i="3"/>
  <c r="F38" i="3"/>
  <c r="A3" i="4"/>
  <c r="F43" i="3"/>
  <c r="F42" i="3"/>
  <c r="A11" i="3"/>
  <c r="A10" i="3"/>
  <c r="C32" i="3"/>
  <c r="A9" i="3"/>
  <c r="A8" i="3"/>
  <c r="D32" i="3"/>
  <c r="E33" i="3"/>
  <c r="E34" i="3"/>
  <c r="E35" i="3"/>
  <c r="A37" i="3"/>
  <c r="E36" i="3"/>
  <c r="E32" i="3"/>
  <c r="F7" i="5"/>
  <c r="A5" i="4"/>
  <c r="Q7" i="1"/>
  <c r="P8" i="1"/>
  <c r="F8" i="5" s="1"/>
  <c r="O8" i="1"/>
  <c r="F48" i="3"/>
  <c r="F49" i="3"/>
  <c r="E37" i="3"/>
  <c r="H7" i="5"/>
  <c r="P11" i="5" s="1"/>
  <c r="Q8" i="1"/>
  <c r="F51" i="3"/>
  <c r="F52" i="3"/>
  <c r="A7" i="4"/>
  <c r="E38" i="3"/>
  <c r="B10" i="2"/>
  <c r="A8" i="1"/>
  <c r="F50" i="3" s="1"/>
  <c r="P10" i="1"/>
  <c r="F10" i="5" s="1"/>
  <c r="O10" i="1"/>
  <c r="F54" i="3"/>
  <c r="F55" i="3"/>
  <c r="E39" i="3"/>
  <c r="F57" i="3"/>
  <c r="F58" i="3"/>
  <c r="B11" i="2"/>
  <c r="P11" i="1"/>
  <c r="F11" i="5" s="1"/>
  <c r="G13" i="5" s="1"/>
  <c r="O11" i="1"/>
  <c r="E40" i="3"/>
  <c r="P12" i="1"/>
  <c r="O12" i="1"/>
  <c r="O13" i="1"/>
  <c r="R13" i="1" s="1"/>
  <c r="E42" i="3"/>
  <c r="Q13" i="1"/>
  <c r="U13" i="1"/>
  <c r="E43" i="3"/>
  <c r="H13" i="5"/>
  <c r="R12" i="5" s="1"/>
  <c r="P15" i="1"/>
  <c r="F15" i="5" s="1"/>
  <c r="O15" i="1"/>
  <c r="E44" i="3"/>
  <c r="P16" i="1"/>
  <c r="O16" i="1"/>
  <c r="E45" i="3"/>
  <c r="F16" i="5"/>
  <c r="P17" i="1"/>
  <c r="F17" i="5" s="1"/>
  <c r="G19" i="5" s="1"/>
  <c r="O17" i="1"/>
  <c r="Q17" i="1" s="1"/>
  <c r="Q16" i="1"/>
  <c r="E46" i="3"/>
  <c r="P18" i="1"/>
  <c r="F18" i="5"/>
  <c r="O18" i="1"/>
  <c r="Q18" i="1" s="1"/>
  <c r="E47" i="3"/>
  <c r="P19" i="1"/>
  <c r="F19" i="5" s="1"/>
  <c r="O19" i="1"/>
  <c r="Q19" i="1" s="1"/>
  <c r="E48" i="3"/>
  <c r="P20" i="1"/>
  <c r="F20" i="5"/>
  <c r="O20" i="1"/>
  <c r="Q20" i="1" s="1"/>
  <c r="T22" i="1" s="1"/>
  <c r="U19" i="1"/>
  <c r="E49" i="3"/>
  <c r="H19" i="5"/>
  <c r="T12" i="5" s="1"/>
  <c r="P21" i="1"/>
  <c r="S22" i="1" s="1"/>
  <c r="F21" i="5"/>
  <c r="O21" i="1"/>
  <c r="Q21" i="1" s="1"/>
  <c r="E50" i="3"/>
  <c r="P22" i="1"/>
  <c r="O22" i="1"/>
  <c r="E51" i="3"/>
  <c r="F22" i="5"/>
  <c r="P23" i="1"/>
  <c r="F23" i="5"/>
  <c r="O23" i="1"/>
  <c r="Q23" i="1" s="1"/>
  <c r="Q22" i="1"/>
  <c r="U22" i="1"/>
  <c r="E52" i="3"/>
  <c r="H22" i="5"/>
  <c r="J22" i="5" s="1"/>
  <c r="V21" i="5" s="1"/>
  <c r="G22" i="5"/>
  <c r="P24" i="1"/>
  <c r="Q24" i="1" s="1"/>
  <c r="F24" i="5"/>
  <c r="O24" i="1"/>
  <c r="I22" i="5"/>
  <c r="V12" i="5"/>
  <c r="P25" i="1"/>
  <c r="O25" i="1"/>
  <c r="Q25" i="1" s="1"/>
  <c r="E54" i="3"/>
  <c r="F25" i="5"/>
  <c r="U25" i="1"/>
  <c r="R25" i="1"/>
  <c r="P26" i="1"/>
  <c r="F26" i="5"/>
  <c r="O26" i="1"/>
  <c r="R28" i="1" s="1"/>
  <c r="E55" i="3"/>
  <c r="P27" i="1"/>
  <c r="F27" i="5" s="1"/>
  <c r="O27" i="1"/>
  <c r="E56" i="3"/>
  <c r="B28" i="2"/>
  <c r="A27" i="5" s="1"/>
  <c r="A26" i="1"/>
  <c r="P28" i="1"/>
  <c r="Q28" i="1" s="1"/>
  <c r="O28" i="1"/>
  <c r="E57" i="3"/>
  <c r="B29" i="2"/>
  <c r="A28" i="5" s="1"/>
  <c r="A27" i="1"/>
  <c r="P29" i="1"/>
  <c r="Q29" i="1" s="1"/>
  <c r="F29" i="5"/>
  <c r="O29" i="1"/>
  <c r="U28" i="1"/>
  <c r="E58" i="3"/>
  <c r="A6" i="3"/>
  <c r="A35" i="3"/>
  <c r="A12" i="3"/>
  <c r="A38" i="3"/>
  <c r="A32" i="3"/>
  <c r="A20" i="3"/>
  <c r="B30" i="2"/>
  <c r="A29" i="5" s="1"/>
  <c r="A28" i="1"/>
  <c r="P30" i="1"/>
  <c r="F30" i="5"/>
  <c r="O30" i="1"/>
  <c r="U31" i="1" s="1"/>
  <c r="A13" i="3"/>
  <c r="A29" i="1"/>
  <c r="P31" i="1"/>
  <c r="F31" i="5" s="1"/>
  <c r="O31" i="1"/>
  <c r="Q31" i="1"/>
  <c r="R31" i="1"/>
  <c r="P32" i="1"/>
  <c r="F32" i="5" s="1"/>
  <c r="O32" i="1"/>
  <c r="U34" i="1" s="1"/>
  <c r="P33" i="1"/>
  <c r="F33" i="5" s="1"/>
  <c r="O33" i="1"/>
  <c r="Q32" i="1"/>
  <c r="O34" i="1"/>
  <c r="P35" i="1"/>
  <c r="F35" i="5"/>
  <c r="O35" i="1"/>
  <c r="R37" i="1" s="1"/>
  <c r="Q35" i="1"/>
  <c r="T37" i="1" s="1"/>
  <c r="P36" i="1"/>
  <c r="F36" i="5" s="1"/>
  <c r="O36" i="1"/>
  <c r="Q36" i="1"/>
  <c r="P37" i="1"/>
  <c r="O37" i="1"/>
  <c r="S37" i="1"/>
  <c r="F37" i="5"/>
  <c r="U37" i="1"/>
  <c r="Q37" i="1"/>
  <c r="H37" i="5" l="1"/>
  <c r="T13" i="5" s="1"/>
  <c r="G37" i="5"/>
  <c r="H28" i="5"/>
  <c r="N13" i="5" s="1"/>
  <c r="T25" i="1"/>
  <c r="G31" i="5"/>
  <c r="H31" i="5"/>
  <c r="R13" i="5" s="1"/>
  <c r="Q10" i="1"/>
  <c r="A10" i="5"/>
  <c r="A9" i="4"/>
  <c r="B12" i="2"/>
  <c r="C12" i="5"/>
  <c r="M13" i="1"/>
  <c r="O55" i="1"/>
  <c r="Q55" i="1" s="1"/>
  <c r="K55" i="1"/>
  <c r="C55" i="5" s="1"/>
  <c r="L55" i="1"/>
  <c r="P34" i="1"/>
  <c r="F34" i="5" s="1"/>
  <c r="G34" i="5" s="1"/>
  <c r="F12" i="5"/>
  <c r="S13" i="1"/>
  <c r="Q12" i="1"/>
  <c r="A6" i="5"/>
  <c r="B8" i="2"/>
  <c r="A6" i="1"/>
  <c r="F44" i="3" s="1"/>
  <c r="G7" i="5"/>
  <c r="R4" i="1"/>
  <c r="Q4" i="1"/>
  <c r="T4" i="1" s="1"/>
  <c r="N4" i="1"/>
  <c r="M3" i="5"/>
  <c r="E10" i="5"/>
  <c r="D7" i="5"/>
  <c r="O2" i="5" s="1"/>
  <c r="E7" i="5"/>
  <c r="D25" i="5"/>
  <c r="W3" i="5" s="1"/>
  <c r="E25" i="5"/>
  <c r="N37" i="1"/>
  <c r="C5" i="5"/>
  <c r="M7" i="1"/>
  <c r="Q44" i="1"/>
  <c r="F28" i="5"/>
  <c r="G28" i="5" s="1"/>
  <c r="R2" i="5"/>
  <c r="T2" i="5"/>
  <c r="N2" i="5"/>
  <c r="O59" i="1"/>
  <c r="K59" i="1"/>
  <c r="L59" i="1"/>
  <c r="L48" i="1"/>
  <c r="O48" i="1"/>
  <c r="K48" i="1"/>
  <c r="C48" i="5" s="1"/>
  <c r="S28" i="1"/>
  <c r="Q26" i="1"/>
  <c r="R22" i="1"/>
  <c r="S34" i="1"/>
  <c r="Q33" i="1"/>
  <c r="B31" i="2"/>
  <c r="H25" i="5"/>
  <c r="X12" i="5" s="1"/>
  <c r="G25" i="5"/>
  <c r="A10" i="1"/>
  <c r="F56" i="3" s="1"/>
  <c r="A9" i="5"/>
  <c r="A9" i="1"/>
  <c r="F53" i="3" s="1"/>
  <c r="A8" i="4"/>
  <c r="H10" i="5"/>
  <c r="N12" i="5" s="1"/>
  <c r="G10" i="5"/>
  <c r="R20" i="5"/>
  <c r="V3" i="5"/>
  <c r="T20" i="5"/>
  <c r="Q5" i="1"/>
  <c r="T7" i="1" s="1"/>
  <c r="U7" i="1"/>
  <c r="E41" i="3"/>
  <c r="C35" i="5"/>
  <c r="M37" i="1"/>
  <c r="C18" i="5"/>
  <c r="M19" i="1"/>
  <c r="B41" i="3"/>
  <c r="A14" i="3"/>
  <c r="L14" i="1"/>
  <c r="N16" i="1" s="1"/>
  <c r="P14" i="1"/>
  <c r="K14" i="1"/>
  <c r="O14" i="1"/>
  <c r="K40" i="1"/>
  <c r="C40" i="5" s="1"/>
  <c r="L40" i="1"/>
  <c r="P40" i="1"/>
  <c r="F40" i="5" s="1"/>
  <c r="O40" i="1"/>
  <c r="Q40" i="1" s="1"/>
  <c r="L32" i="1"/>
  <c r="N34" i="1" s="1"/>
  <c r="K32" i="1"/>
  <c r="L54" i="1"/>
  <c r="O54" i="1"/>
  <c r="Q54" i="1" s="1"/>
  <c r="K54" i="1"/>
  <c r="C54" i="5" s="1"/>
  <c r="Q50" i="1"/>
  <c r="U52" i="1"/>
  <c r="F44" i="5"/>
  <c r="Q30" i="1"/>
  <c r="T31" i="1" s="1"/>
  <c r="T19" i="1"/>
  <c r="D13" i="5"/>
  <c r="I13" i="5" s="1"/>
  <c r="E13" i="5"/>
  <c r="R34" i="1"/>
  <c r="Q27" i="1"/>
  <c r="S31" i="1"/>
  <c r="S25" i="1"/>
  <c r="R19" i="1"/>
  <c r="R7" i="1"/>
  <c r="F5" i="5"/>
  <c r="S7" i="1"/>
  <c r="H4" i="5"/>
  <c r="N11" i="5" s="1"/>
  <c r="G4" i="5"/>
  <c r="E19" i="5"/>
  <c r="D19" i="5"/>
  <c r="I19" i="5" s="1"/>
  <c r="K34" i="1"/>
  <c r="C34" i="5" s="1"/>
  <c r="L26" i="1"/>
  <c r="N28" i="1" s="1"/>
  <c r="K26" i="1"/>
  <c r="L9" i="1"/>
  <c r="N10" i="1" s="1"/>
  <c r="P9" i="1"/>
  <c r="O9" i="1"/>
  <c r="D31" i="5"/>
  <c r="Q15" i="1"/>
  <c r="Q11" i="1"/>
  <c r="T13" i="1" s="1"/>
  <c r="L39" i="1"/>
  <c r="N40" i="1" s="1"/>
  <c r="O39" i="1"/>
  <c r="K39" i="1"/>
  <c r="C39" i="5" s="1"/>
  <c r="S43" i="1"/>
  <c r="F41" i="5"/>
  <c r="Q60" i="1"/>
  <c r="N52" i="1"/>
  <c r="P54" i="1"/>
  <c r="F54" i="5" s="1"/>
  <c r="P50" i="1"/>
  <c r="P46" i="1"/>
  <c r="F46" i="5" s="1"/>
  <c r="M52" i="1"/>
  <c r="C50" i="5"/>
  <c r="S19" i="1"/>
  <c r="K38" i="1"/>
  <c r="O38" i="1"/>
  <c r="L43" i="1"/>
  <c r="O43" i="1"/>
  <c r="Q43" i="1" s="1"/>
  <c r="P38" i="1"/>
  <c r="O52" i="1"/>
  <c r="Q52" i="1" s="1"/>
  <c r="K52" i="1"/>
  <c r="C52" i="5" s="1"/>
  <c r="L46" i="1"/>
  <c r="O46" i="1"/>
  <c r="Q46" i="1" s="1"/>
  <c r="K46" i="1"/>
  <c r="C46" i="5" s="1"/>
  <c r="P39" i="1"/>
  <c r="F39" i="5" s="1"/>
  <c r="K42" i="1"/>
  <c r="C42" i="5" s="1"/>
  <c r="O42" i="1"/>
  <c r="L56" i="1"/>
  <c r="N58" i="1" s="1"/>
  <c r="P56" i="1"/>
  <c r="P48" i="1"/>
  <c r="F48" i="5" s="1"/>
  <c r="L52" i="1"/>
  <c r="K41" i="1"/>
  <c r="L41" i="1"/>
  <c r="N43" i="1" s="1"/>
  <c r="L53" i="1"/>
  <c r="O53" i="1"/>
  <c r="K53" i="1"/>
  <c r="O47" i="1"/>
  <c r="K47" i="1"/>
  <c r="L47" i="1"/>
  <c r="N49" i="1" s="1"/>
  <c r="P61" i="1"/>
  <c r="F61" i="5" s="1"/>
  <c r="P57" i="1"/>
  <c r="F57" i="5" s="1"/>
  <c r="P53" i="1"/>
  <c r="P45" i="1"/>
  <c r="F45" i="5" s="1"/>
  <c r="K56" i="1"/>
  <c r="O56" i="1"/>
  <c r="L57" i="1"/>
  <c r="O57" i="1"/>
  <c r="Q57" i="1" s="1"/>
  <c r="K57" i="1"/>
  <c r="C57" i="5" s="1"/>
  <c r="L61" i="1"/>
  <c r="O61" i="1"/>
  <c r="K61" i="1"/>
  <c r="C61" i="5" s="1"/>
  <c r="O51" i="1"/>
  <c r="K51" i="1"/>
  <c r="C51" i="5" s="1"/>
  <c r="L51" i="1"/>
  <c r="L45" i="1"/>
  <c r="N46" i="1" s="1"/>
  <c r="O45" i="1"/>
  <c r="Q45" i="1" s="1"/>
  <c r="K45" i="1"/>
  <c r="C45" i="5" s="1"/>
  <c r="P59" i="1"/>
  <c r="P55" i="1"/>
  <c r="F55" i="5" s="1"/>
  <c r="P51" i="1"/>
  <c r="F51" i="5" s="1"/>
  <c r="P47" i="1"/>
  <c r="K60" i="1"/>
  <c r="C60" i="5" s="1"/>
  <c r="K44" i="1"/>
  <c r="K49" i="1"/>
  <c r="C49" i="5" s="1"/>
  <c r="O49" i="1"/>
  <c r="Q49" i="1" s="1"/>
  <c r="O13" i="5" l="1"/>
  <c r="M13" i="5"/>
  <c r="Q51" i="1"/>
  <c r="C56" i="5"/>
  <c r="M58" i="1"/>
  <c r="M55" i="1"/>
  <c r="C53" i="5"/>
  <c r="Q38" i="1"/>
  <c r="U40" i="1"/>
  <c r="R40" i="1"/>
  <c r="U55" i="1"/>
  <c r="R55" i="1"/>
  <c r="Q53" i="1"/>
  <c r="T55" i="1" s="1"/>
  <c r="Q42" i="1"/>
  <c r="T43" i="1" s="1"/>
  <c r="R43" i="1"/>
  <c r="U43" i="1"/>
  <c r="F38" i="5"/>
  <c r="S40" i="1"/>
  <c r="C38" i="5"/>
  <c r="M40" i="1"/>
  <c r="Q39" i="1"/>
  <c r="Q4" i="5"/>
  <c r="M28" i="1"/>
  <c r="C26" i="5"/>
  <c r="T3" i="5"/>
  <c r="J19" i="5"/>
  <c r="T21" i="5" s="1"/>
  <c r="T52" i="1"/>
  <c r="U16" i="1"/>
  <c r="R16" i="1"/>
  <c r="Q14" i="1"/>
  <c r="T16" i="1" s="1"/>
  <c r="I10" i="5"/>
  <c r="M21" i="5" s="1"/>
  <c r="M12" i="5"/>
  <c r="Q48" i="1"/>
  <c r="R61" i="1"/>
  <c r="Q59" i="1"/>
  <c r="U61" i="1"/>
  <c r="U46" i="1"/>
  <c r="X3" i="5"/>
  <c r="N3" i="5"/>
  <c r="J10" i="5"/>
  <c r="N21" i="5" s="1"/>
  <c r="Q34" i="1"/>
  <c r="T34" i="1" s="1"/>
  <c r="M61" i="1"/>
  <c r="C59" i="5"/>
  <c r="T46" i="1"/>
  <c r="A7" i="5"/>
  <c r="A6" i="4"/>
  <c r="A7" i="1"/>
  <c r="F47" i="3" s="1"/>
  <c r="I31" i="5"/>
  <c r="Q22" i="5" s="1"/>
  <c r="Q13" i="5"/>
  <c r="M46" i="1"/>
  <c r="C44" i="5"/>
  <c r="S61" i="1"/>
  <c r="F59" i="5"/>
  <c r="Q61" i="1"/>
  <c r="S55" i="1"/>
  <c r="F53" i="5"/>
  <c r="C47" i="5"/>
  <c r="M49" i="1"/>
  <c r="N55" i="1"/>
  <c r="F50" i="5"/>
  <c r="S52" i="1"/>
  <c r="G43" i="5"/>
  <c r="H43" i="5"/>
  <c r="X13" i="5" s="1"/>
  <c r="U10" i="1"/>
  <c r="Q9" i="1"/>
  <c r="T10" i="1" s="1"/>
  <c r="R10" i="1"/>
  <c r="E53" i="3"/>
  <c r="M11" i="5"/>
  <c r="I4" i="5"/>
  <c r="M20" i="5" s="1"/>
  <c r="V11" i="5"/>
  <c r="X11" i="5"/>
  <c r="J13" i="5"/>
  <c r="R21" i="5" s="1"/>
  <c r="R11" i="5"/>
  <c r="T11" i="5"/>
  <c r="R3" i="5"/>
  <c r="S46" i="1"/>
  <c r="R52" i="1"/>
  <c r="C14" i="5"/>
  <c r="M16" i="1"/>
  <c r="E37" i="5"/>
  <c r="D37" i="5"/>
  <c r="S4" i="5" s="1"/>
  <c r="A30" i="5"/>
  <c r="B32" i="2"/>
  <c r="A30" i="1"/>
  <c r="T28" i="1"/>
  <c r="O11" i="5"/>
  <c r="I7" i="5"/>
  <c r="O20" i="5" s="1"/>
  <c r="H34" i="5"/>
  <c r="P13" i="5" s="1"/>
  <c r="I37" i="5"/>
  <c r="S22" i="5" s="1"/>
  <c r="S13" i="5"/>
  <c r="H52" i="5"/>
  <c r="P14" i="5" s="1"/>
  <c r="G52" i="5"/>
  <c r="M43" i="1"/>
  <c r="C41" i="5"/>
  <c r="W12" i="5"/>
  <c r="I25" i="5"/>
  <c r="J25" i="5" s="1"/>
  <c r="S49" i="1"/>
  <c r="F47" i="5"/>
  <c r="E52" i="5"/>
  <c r="D52" i="5"/>
  <c r="O5" i="5" s="1"/>
  <c r="U58" i="1"/>
  <c r="Q56" i="1"/>
  <c r="T58" i="1" s="1"/>
  <c r="R58" i="1"/>
  <c r="R49" i="1"/>
  <c r="Q47" i="1"/>
  <c r="U49" i="1"/>
  <c r="S58" i="1"/>
  <c r="F56" i="5"/>
  <c r="F9" i="5"/>
  <c r="S10" i="1"/>
  <c r="H46" i="5"/>
  <c r="N14" i="5" s="1"/>
  <c r="G46" i="5"/>
  <c r="M34" i="1"/>
  <c r="C32" i="5"/>
  <c r="F14" i="5"/>
  <c r="S16" i="1"/>
  <c r="N61" i="1"/>
  <c r="J4" i="5"/>
  <c r="N20" i="5" s="1"/>
  <c r="R46" i="1"/>
  <c r="P2" i="5"/>
  <c r="J7" i="5"/>
  <c r="P20" i="5" s="1"/>
  <c r="A11" i="5"/>
  <c r="A11" i="1"/>
  <c r="B13" i="2"/>
  <c r="H58" i="5" l="1"/>
  <c r="V14" i="5" s="1"/>
  <c r="G58" i="5"/>
  <c r="G55" i="5"/>
  <c r="H55" i="5"/>
  <c r="T14" i="5" s="1"/>
  <c r="H16" i="5"/>
  <c r="P12" i="5" s="1"/>
  <c r="G16" i="5"/>
  <c r="P5" i="5"/>
  <c r="A31" i="5"/>
  <c r="A31" i="1"/>
  <c r="B33" i="2"/>
  <c r="D46" i="5"/>
  <c r="M5" i="5" s="1"/>
  <c r="E46" i="5"/>
  <c r="E61" i="5"/>
  <c r="D61" i="5"/>
  <c r="W5" i="5" s="1"/>
  <c r="D28" i="5"/>
  <c r="E28" i="5"/>
  <c r="H40" i="5"/>
  <c r="V13" i="5" s="1"/>
  <c r="G40" i="5"/>
  <c r="A12" i="5"/>
  <c r="B14" i="2"/>
  <c r="A12" i="1"/>
  <c r="M14" i="5"/>
  <c r="E34" i="5"/>
  <c r="D34" i="5"/>
  <c r="H49" i="5"/>
  <c r="R14" i="5" s="1"/>
  <c r="G49" i="5"/>
  <c r="E43" i="5"/>
  <c r="D43" i="5"/>
  <c r="W4" i="5" s="1"/>
  <c r="E16" i="5"/>
  <c r="D16" i="5"/>
  <c r="W13" i="5"/>
  <c r="I43" i="5"/>
  <c r="W22" i="5" s="1"/>
  <c r="T61" i="1"/>
  <c r="T40" i="1"/>
  <c r="E58" i="5"/>
  <c r="D58" i="5"/>
  <c r="U5" i="5" s="1"/>
  <c r="O14" i="5"/>
  <c r="I52" i="5"/>
  <c r="O23" i="5" s="1"/>
  <c r="T4" i="5"/>
  <c r="J37" i="5"/>
  <c r="T22" i="5" s="1"/>
  <c r="T49" i="1"/>
  <c r="D49" i="5"/>
  <c r="Q5" i="5" s="1"/>
  <c r="E49" i="5"/>
  <c r="G61" i="5"/>
  <c r="H61" i="5"/>
  <c r="X14" i="5" s="1"/>
  <c r="J31" i="5"/>
  <c r="R22" i="5" s="1"/>
  <c r="D40" i="5"/>
  <c r="U4" i="5" s="1"/>
  <c r="E40" i="5"/>
  <c r="D55" i="5"/>
  <c r="S5" i="5" s="1"/>
  <c r="E55" i="5"/>
  <c r="T5" i="5" l="1"/>
  <c r="P3" i="5"/>
  <c r="I46" i="5"/>
  <c r="M23" i="5" s="1"/>
  <c r="I40" i="5"/>
  <c r="U22" i="5" s="1"/>
  <c r="U13" i="5"/>
  <c r="A32" i="5"/>
  <c r="A32" i="1"/>
  <c r="B34" i="2"/>
  <c r="J52" i="5"/>
  <c r="P23" i="5" s="1"/>
  <c r="S14" i="5"/>
  <c r="I55" i="5"/>
  <c r="S23" i="5" s="1"/>
  <c r="W14" i="5"/>
  <c r="I61" i="5"/>
  <c r="W23" i="5" s="1"/>
  <c r="O4" i="5"/>
  <c r="I34" i="5"/>
  <c r="O22" i="5" s="1"/>
  <c r="X5" i="5"/>
  <c r="J61" i="5"/>
  <c r="X23" i="5" s="1"/>
  <c r="I16" i="5"/>
  <c r="O21" i="5" s="1"/>
  <c r="O12" i="5"/>
  <c r="U14" i="5"/>
  <c r="I58" i="5"/>
  <c r="U23" i="5" s="1"/>
  <c r="Q14" i="5"/>
  <c r="I49" i="5"/>
  <c r="Q23" i="5" s="1"/>
  <c r="M4" i="5"/>
  <c r="I28" i="5"/>
  <c r="M22" i="5" s="1"/>
  <c r="V4" i="5"/>
  <c r="J40" i="5"/>
  <c r="V22" i="5" s="1"/>
  <c r="R5" i="5"/>
  <c r="J49" i="5"/>
  <c r="R23" i="5" s="1"/>
  <c r="V5" i="5"/>
  <c r="X4" i="5"/>
  <c r="J43" i="5"/>
  <c r="P4" i="5"/>
  <c r="J34" i="5"/>
  <c r="P22" i="5" s="1"/>
  <c r="A13" i="5"/>
  <c r="B15" i="2"/>
  <c r="A13" i="1"/>
  <c r="N4" i="5"/>
  <c r="N5" i="5"/>
  <c r="J46" i="5"/>
  <c r="N23" i="5" s="1"/>
  <c r="A14" i="5" l="1"/>
  <c r="A14" i="1"/>
  <c r="B16" i="2"/>
  <c r="J28" i="5"/>
  <c r="N22" i="5" s="1"/>
  <c r="A33" i="5"/>
  <c r="A33" i="1"/>
  <c r="B35" i="2"/>
  <c r="J55" i="5"/>
  <c r="T23" i="5" s="1"/>
  <c r="J16" i="5"/>
  <c r="P21" i="5" s="1"/>
  <c r="J58" i="5"/>
  <c r="V23" i="5" s="1"/>
  <c r="A34" i="5" l="1"/>
  <c r="B36" i="2"/>
  <c r="A34" i="1"/>
  <c r="A15" i="5"/>
  <c r="B17" i="2"/>
  <c r="A15" i="1"/>
  <c r="A35" i="5" l="1"/>
  <c r="B37" i="2"/>
  <c r="A35" i="1"/>
  <c r="A16" i="5"/>
  <c r="B18" i="2"/>
  <c r="A16" i="1"/>
  <c r="A36" i="5" l="1"/>
  <c r="B38" i="2"/>
  <c r="A36" i="1"/>
  <c r="A17" i="5"/>
  <c r="A17" i="1"/>
  <c r="B19" i="2"/>
  <c r="A18" i="5" l="1"/>
  <c r="B20" i="2"/>
  <c r="A18" i="1"/>
  <c r="A37" i="5"/>
  <c r="B39" i="2"/>
  <c r="A37" i="1"/>
  <c r="A19" i="5" l="1"/>
  <c r="A19" i="1"/>
  <c r="B21" i="2"/>
  <c r="A38" i="5"/>
  <c r="A38" i="1"/>
  <c r="B40" i="2"/>
  <c r="A20" i="5" l="1"/>
  <c r="B22" i="2"/>
  <c r="A20" i="1"/>
  <c r="A39" i="1"/>
  <c r="A39" i="5"/>
  <c r="B41" i="2"/>
  <c r="A21" i="5" l="1"/>
  <c r="B23" i="2"/>
  <c r="A21" i="1"/>
  <c r="A40" i="1"/>
  <c r="A40" i="5"/>
  <c r="B42" i="2"/>
  <c r="A41" i="5" l="1"/>
  <c r="A41" i="1"/>
  <c r="B43" i="2"/>
  <c r="A22" i="5"/>
  <c r="A22" i="1"/>
  <c r="B24" i="2"/>
  <c r="A42" i="5" l="1"/>
  <c r="A42" i="1"/>
  <c r="B44" i="2"/>
  <c r="A23" i="5"/>
  <c r="B25" i="2"/>
  <c r="A23" i="1"/>
  <c r="A43" i="5" l="1"/>
  <c r="A43" i="1"/>
  <c r="B45" i="2"/>
  <c r="B26" i="2"/>
  <c r="A24" i="1"/>
  <c r="A24" i="5"/>
  <c r="A25" i="5" l="1"/>
  <c r="A25" i="1"/>
  <c r="A44" i="1"/>
  <c r="A44" i="5"/>
  <c r="B46" i="2"/>
  <c r="A45" i="1" l="1"/>
  <c r="A45" i="5"/>
  <c r="B47" i="2"/>
  <c r="A46" i="5" l="1"/>
  <c r="A46" i="1"/>
  <c r="B48" i="2"/>
  <c r="A47" i="1" l="1"/>
  <c r="A47" i="5"/>
  <c r="B49" i="2"/>
  <c r="A48" i="1" l="1"/>
  <c r="A48" i="5"/>
  <c r="B50" i="2"/>
  <c r="A49" i="1" l="1"/>
  <c r="A49" i="5"/>
  <c r="B51" i="2"/>
  <c r="A50" i="1" l="1"/>
  <c r="A50" i="5"/>
  <c r="B52" i="2"/>
  <c r="A51" i="1" l="1"/>
  <c r="A51" i="5"/>
  <c r="B53" i="2"/>
  <c r="A52" i="1" l="1"/>
  <c r="B54" i="2"/>
  <c r="A52" i="5"/>
  <c r="A53" i="1" l="1"/>
  <c r="A53" i="5"/>
  <c r="B55" i="2"/>
  <c r="A54" i="5" l="1"/>
  <c r="A54" i="1"/>
  <c r="B56" i="2"/>
  <c r="A55" i="1" l="1"/>
  <c r="A55" i="5"/>
  <c r="B57" i="2"/>
  <c r="A56" i="1" l="1"/>
  <c r="A56" i="5"/>
  <c r="B58" i="2"/>
  <c r="A57" i="1" l="1"/>
  <c r="A57" i="5"/>
  <c r="B59" i="2"/>
  <c r="A58" i="1" l="1"/>
  <c r="A58" i="5"/>
  <c r="B60" i="2"/>
  <c r="A59" i="1" l="1"/>
  <c r="A59" i="5"/>
  <c r="B61" i="2"/>
  <c r="A60" i="1" l="1"/>
  <c r="A60" i="5"/>
  <c r="B62" i="2"/>
  <c r="A61" i="1" l="1"/>
  <c r="A61" i="5"/>
</calcChain>
</file>

<file path=xl/comments1.xml><?xml version="1.0" encoding="utf-8"?>
<comments xmlns="http://schemas.openxmlformats.org/spreadsheetml/2006/main">
  <authors>
    <author>Bruce Bowler</author>
  </authors>
  <commentList>
    <comment ref="I1" authorId="0" shapeId="0">
      <text>
        <r>
          <rPr>
            <b/>
            <sz val="8"/>
            <color indexed="81"/>
            <rFont val="Tahoma"/>
            <family val="2"/>
          </rPr>
          <t>Bruce Bowler:</t>
        </r>
        <r>
          <rPr>
            <sz val="8"/>
            <color indexed="81"/>
            <rFont val="Tahoma"/>
            <family val="2"/>
          </rPr>
          <t xml:space="preserve">
*Dilution = 1 means there is no dilution</t>
        </r>
      </text>
    </comment>
  </commentList>
</comments>
</file>

<file path=xl/comments2.xml><?xml version="1.0" encoding="utf-8"?>
<comments xmlns="http://schemas.openxmlformats.org/spreadsheetml/2006/main">
  <authors>
    <author>William Balch</author>
  </authors>
  <commentList>
    <comment ref="O3" authorId="0" shapeId="0">
      <text>
        <r>
          <rPr>
            <b/>
            <sz val="9"/>
            <color indexed="81"/>
            <rFont val="Tahoma"/>
            <family val="2"/>
          </rPr>
          <t>William Balch:</t>
        </r>
        <r>
          <rPr>
            <sz val="9"/>
            <color indexed="81"/>
            <rFont val="Tahoma"/>
            <family val="2"/>
          </rPr>
          <t xml:space="preserve">
=c16</t>
        </r>
      </text>
    </comment>
    <comment ref="Q3" authorId="0" shapeId="0">
      <text>
        <r>
          <rPr>
            <b/>
            <sz val="9"/>
            <color indexed="81"/>
            <rFont val="Tahoma"/>
            <family val="2"/>
          </rPr>
          <t>William Balch:</t>
        </r>
        <r>
          <rPr>
            <sz val="9"/>
            <color indexed="81"/>
            <rFont val="Tahoma"/>
            <family val="2"/>
          </rPr>
          <t xml:space="preserve">
=d13</t>
        </r>
      </text>
    </comment>
    <comment ref="S3" authorId="0" shapeId="0">
      <text>
        <r>
          <rPr>
            <b/>
            <sz val="9"/>
            <color indexed="81"/>
            <rFont val="Tahoma"/>
            <family val="2"/>
          </rPr>
          <t>William Balch:</t>
        </r>
        <r>
          <rPr>
            <sz val="9"/>
            <color indexed="81"/>
            <rFont val="Tahoma"/>
            <family val="2"/>
          </rPr>
          <t xml:space="preserve">
=d19</t>
        </r>
      </text>
    </comment>
    <comment ref="U3" authorId="0" shapeId="0">
      <text>
        <r>
          <rPr>
            <b/>
            <sz val="9"/>
            <color indexed="81"/>
            <rFont val="Tahoma"/>
            <family val="2"/>
          </rPr>
          <t>William Balch:</t>
        </r>
        <r>
          <rPr>
            <sz val="9"/>
            <color indexed="81"/>
            <rFont val="Tahoma"/>
            <family val="2"/>
          </rPr>
          <t xml:space="preserve">
=d22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</rPr>
          <t>William Balch:</t>
        </r>
        <r>
          <rPr>
            <sz val="9"/>
            <color indexed="81"/>
            <rFont val="Tahoma"/>
            <family val="2"/>
          </rPr>
          <t xml:space="preserve">
=d13</t>
        </r>
      </text>
    </comment>
    <comment ref="S11" authorId="0" shapeId="0">
      <text>
        <r>
          <rPr>
            <b/>
            <sz val="9"/>
            <color indexed="81"/>
            <rFont val="Tahoma"/>
            <family val="2"/>
          </rPr>
          <t>William Balch:</t>
        </r>
        <r>
          <rPr>
            <sz val="9"/>
            <color indexed="81"/>
            <rFont val="Tahoma"/>
            <family val="2"/>
          </rPr>
          <t xml:space="preserve">
=d13</t>
        </r>
      </text>
    </comment>
    <comment ref="U11" authorId="0" shapeId="0">
      <text>
        <r>
          <rPr>
            <b/>
            <sz val="9"/>
            <color indexed="81"/>
            <rFont val="Tahoma"/>
            <family val="2"/>
          </rPr>
          <t>William Balch:</t>
        </r>
        <r>
          <rPr>
            <sz val="9"/>
            <color indexed="81"/>
            <rFont val="Tahoma"/>
            <family val="2"/>
          </rPr>
          <t xml:space="preserve">
=d13</t>
        </r>
      </text>
    </comment>
    <comment ref="W11" authorId="0" shapeId="0">
      <text>
        <r>
          <rPr>
            <b/>
            <sz val="9"/>
            <color indexed="81"/>
            <rFont val="Tahoma"/>
            <family val="2"/>
          </rPr>
          <t>William Balch:</t>
        </r>
        <r>
          <rPr>
            <sz val="9"/>
            <color indexed="81"/>
            <rFont val="Tahoma"/>
            <family val="2"/>
          </rPr>
          <t xml:space="preserve">
=d13</t>
        </r>
      </text>
    </comment>
    <comment ref="Q12" authorId="0" shapeId="0">
      <text>
        <r>
          <rPr>
            <b/>
            <sz val="9"/>
            <color indexed="81"/>
            <rFont val="Tahoma"/>
            <family val="2"/>
          </rPr>
          <t>William Balch:</t>
        </r>
        <r>
          <rPr>
            <sz val="9"/>
            <color indexed="81"/>
            <rFont val="Tahoma"/>
            <family val="2"/>
          </rPr>
          <t xml:space="preserve">
=g13</t>
        </r>
      </text>
    </comment>
    <comment ref="S12" authorId="0" shapeId="0">
      <text>
        <r>
          <rPr>
            <b/>
            <sz val="9"/>
            <color indexed="81"/>
            <rFont val="Tahoma"/>
            <family val="2"/>
          </rPr>
          <t>William Balch:</t>
        </r>
        <r>
          <rPr>
            <sz val="9"/>
            <color indexed="81"/>
            <rFont val="Tahoma"/>
            <family val="2"/>
          </rPr>
          <t xml:space="preserve">
=g19
</t>
        </r>
      </text>
    </comment>
    <comment ref="U12" authorId="0" shapeId="0">
      <text>
        <r>
          <rPr>
            <b/>
            <sz val="9"/>
            <color indexed="81"/>
            <rFont val="Tahoma"/>
            <family val="2"/>
          </rPr>
          <t>William Balch:</t>
        </r>
        <r>
          <rPr>
            <sz val="9"/>
            <color indexed="81"/>
            <rFont val="Tahoma"/>
            <family val="2"/>
          </rPr>
          <t xml:space="preserve">
=g22</t>
        </r>
      </text>
    </comment>
    <comment ref="Q20" authorId="0" shapeId="0">
      <text>
        <r>
          <rPr>
            <b/>
            <sz val="9"/>
            <color indexed="81"/>
            <rFont val="Tahoma"/>
            <family val="2"/>
          </rPr>
          <t>William Balch:</t>
        </r>
        <r>
          <rPr>
            <sz val="9"/>
            <color indexed="81"/>
            <rFont val="Tahoma"/>
            <family val="2"/>
          </rPr>
          <t xml:space="preserve">
=d22</t>
        </r>
      </text>
    </comment>
    <comment ref="S20" authorId="0" shapeId="0">
      <text>
        <r>
          <rPr>
            <b/>
            <sz val="9"/>
            <color indexed="81"/>
            <rFont val="Tahoma"/>
            <family val="2"/>
          </rPr>
          <t>William Balch:</t>
        </r>
        <r>
          <rPr>
            <sz val="9"/>
            <color indexed="81"/>
            <rFont val="Tahoma"/>
            <family val="2"/>
          </rPr>
          <t xml:space="preserve">
=d22</t>
        </r>
      </text>
    </comment>
    <comment ref="U20" authorId="0" shapeId="0">
      <text>
        <r>
          <rPr>
            <b/>
            <sz val="9"/>
            <color indexed="81"/>
            <rFont val="Tahoma"/>
            <family val="2"/>
          </rPr>
          <t>William Balch:</t>
        </r>
        <r>
          <rPr>
            <sz val="9"/>
            <color indexed="81"/>
            <rFont val="Tahoma"/>
            <family val="2"/>
          </rPr>
          <t xml:space="preserve">
=d22</t>
        </r>
      </text>
    </comment>
    <comment ref="W20" authorId="0" shapeId="0">
      <text>
        <r>
          <rPr>
            <b/>
            <sz val="9"/>
            <color indexed="81"/>
            <rFont val="Tahoma"/>
            <family val="2"/>
          </rPr>
          <t>William Balch:</t>
        </r>
        <r>
          <rPr>
            <sz val="9"/>
            <color indexed="81"/>
            <rFont val="Tahoma"/>
            <family val="2"/>
          </rPr>
          <t xml:space="preserve">
=d22</t>
        </r>
      </text>
    </comment>
    <comment ref="Q21" authorId="0" shapeId="0">
      <text>
        <r>
          <rPr>
            <b/>
            <sz val="9"/>
            <color indexed="81"/>
            <rFont val="Tahoma"/>
            <family val="2"/>
          </rPr>
          <t>William Balch:</t>
        </r>
        <r>
          <rPr>
            <sz val="9"/>
            <color indexed="81"/>
            <rFont val="Tahoma"/>
            <family val="2"/>
          </rPr>
          <t xml:space="preserve">
=i13</t>
        </r>
      </text>
    </comment>
    <comment ref="S21" authorId="0" shapeId="0">
      <text>
        <r>
          <rPr>
            <b/>
            <sz val="9"/>
            <color indexed="81"/>
            <rFont val="Tahoma"/>
            <family val="2"/>
          </rPr>
          <t>William Balch:</t>
        </r>
        <r>
          <rPr>
            <sz val="9"/>
            <color indexed="81"/>
            <rFont val="Tahoma"/>
            <family val="2"/>
          </rPr>
          <t xml:space="preserve">
=i19</t>
        </r>
      </text>
    </comment>
    <comment ref="U21" authorId="0" shapeId="0">
      <text>
        <r>
          <rPr>
            <b/>
            <sz val="9"/>
            <color indexed="81"/>
            <rFont val="Tahoma"/>
            <family val="2"/>
          </rPr>
          <t>William Balch:</t>
        </r>
        <r>
          <rPr>
            <sz val="9"/>
            <color indexed="81"/>
            <rFont val="Tahoma"/>
            <family val="2"/>
          </rPr>
          <t xml:space="preserve">
=I22</t>
        </r>
      </text>
    </comment>
    <comment ref="W21" authorId="0" shapeId="0">
      <text>
        <r>
          <rPr>
            <b/>
            <sz val="9"/>
            <color indexed="81"/>
            <rFont val="Tahoma"/>
            <family val="2"/>
          </rPr>
          <t>William Balch:</t>
        </r>
        <r>
          <rPr>
            <sz val="9"/>
            <color indexed="81"/>
            <rFont val="Tahoma"/>
            <family val="2"/>
          </rPr>
          <t xml:space="preserve">
=i25</t>
        </r>
      </text>
    </comment>
  </commentList>
</comments>
</file>

<file path=xl/sharedStrings.xml><?xml version="1.0" encoding="utf-8"?>
<sst xmlns="http://schemas.openxmlformats.org/spreadsheetml/2006/main" count="331" uniqueCount="157">
  <si>
    <t>Sample #</t>
  </si>
  <si>
    <t>Filter</t>
  </si>
  <si>
    <t>Date</t>
  </si>
  <si>
    <t>F vol (ml)</t>
  </si>
  <si>
    <t>E vol (ml)</t>
  </si>
  <si>
    <t>Fb</t>
  </si>
  <si>
    <t>Fa</t>
  </si>
  <si>
    <t>Dilution</t>
  </si>
  <si>
    <t>Chl (ug/l)</t>
  </si>
  <si>
    <t>Fb/Fa</t>
  </si>
  <si>
    <t>Avg Chl</t>
  </si>
  <si>
    <t>Avg Fb/Fa</t>
  </si>
  <si>
    <t>Chl a</t>
  </si>
  <si>
    <t>Pheo</t>
  </si>
  <si>
    <t>Chl a+Pheo</t>
  </si>
  <si>
    <t>Avg Chl a</t>
  </si>
  <si>
    <t>Avg Pheo</t>
  </si>
  <si>
    <t>Avg Chla+Pheo</t>
  </si>
  <si>
    <t>HA</t>
  </si>
  <si>
    <t>Factor     (r/r-1)</t>
  </si>
  <si>
    <t>fb</t>
  </si>
  <si>
    <t>fa</t>
  </si>
  <si>
    <t>Sample
#</t>
  </si>
  <si>
    <r>
      <t xml:space="preserve">Date
</t>
    </r>
    <r>
      <rPr>
        <b/>
        <sz val="10"/>
        <rFont val="Geneva"/>
      </rPr>
      <t>mm/dd/yyyy</t>
    </r>
  </si>
  <si>
    <t>/begin_header</t>
  </si>
  <si>
    <t>/affiliations=Bigelow_Laboratory_for_Ocean_Sciences</t>
  </si>
  <si>
    <t>/investigators=William_Balch</t>
  </si>
  <si>
    <t>/contact=bbalch@bigelow.org</t>
  </si>
  <si>
    <t>/experiment=Scotia_Prince_ferry</t>
  </si>
  <si>
    <t>/data_type=pigment</t>
  </si>
  <si>
    <t>/fields=date,time,lat,lon,chl,station</t>
  </si>
  <si>
    <t>/units=yyyymmdd,hh:mm:ss,degrees,degrees,mg/m^3,none</t>
  </si>
  <si>
    <t>/delimiter=tab</t>
  </si>
  <si>
    <t>/documents=readme.txt</t>
  </si>
  <si>
    <t>/data_status=final</t>
  </si>
  <si>
    <t>/missing=-99.99</t>
  </si>
  <si>
    <t>/water_depth=NA</t>
  </si>
  <si>
    <t>/wind_speed=NA</t>
  </si>
  <si>
    <t>/wave_height=NA</t>
  </si>
  <si>
    <t>/secchi_depth=NA</t>
  </si>
  <si>
    <t>/station=NA</t>
  </si>
  <si>
    <t>/cloud_percent=NA</t>
  </si>
  <si>
    <t>/calibration_files=fluorometer-calibration.txt</t>
  </si>
  <si>
    <t>/measurement_depth=3</t>
  </si>
  <si>
    <t>/end_header@</t>
  </si>
  <si>
    <t>Blank</t>
  </si>
  <si>
    <t>Factor
tau/(tau-1)</t>
  </si>
  <si>
    <t>scale</t>
  </si>
  <si>
    <t>corr fb</t>
  </si>
  <si>
    <t>corr fa</t>
  </si>
  <si>
    <t>Dev. Chla</t>
  </si>
  <si>
    <t xml:space="preserve">Cruise: </t>
  </si>
  <si>
    <t>Enter data in green cells only!</t>
  </si>
  <si>
    <t>TN376 UW</t>
  </si>
  <si>
    <t>control 1</t>
  </si>
  <si>
    <t>control 2</t>
  </si>
  <si>
    <t>control 3</t>
  </si>
  <si>
    <t>NO3 4</t>
  </si>
  <si>
    <t>NO3 5</t>
  </si>
  <si>
    <t>NO3 6</t>
  </si>
  <si>
    <t>SAMW 7</t>
  </si>
  <si>
    <t>SAMW 8</t>
  </si>
  <si>
    <t>SAMW 9</t>
  </si>
  <si>
    <t>Si 10</t>
  </si>
  <si>
    <t>Si 11</t>
  </si>
  <si>
    <t>Si 12</t>
  </si>
  <si>
    <t>Fe + Si 13</t>
  </si>
  <si>
    <t>Fe + Si 14</t>
  </si>
  <si>
    <t>Fe + Si 15</t>
  </si>
  <si>
    <t>Fe 16</t>
  </si>
  <si>
    <t>Fe 17</t>
  </si>
  <si>
    <t>Fe 18</t>
  </si>
  <si>
    <t>Time from T0</t>
  </si>
  <si>
    <t>Treatment</t>
  </si>
  <si>
    <t>Time From 0</t>
  </si>
  <si>
    <t>SAMW 4</t>
  </si>
  <si>
    <t>SAMW 5</t>
  </si>
  <si>
    <t>SAMW 6</t>
  </si>
  <si>
    <t>M</t>
  </si>
  <si>
    <t>L</t>
  </si>
  <si>
    <t>Sample</t>
  </si>
  <si>
    <t>chl (ug/L)</t>
  </si>
  <si>
    <t>mean chl</t>
  </si>
  <si>
    <t>SD chl</t>
  </si>
  <si>
    <t>mean Pheo</t>
  </si>
  <si>
    <t>SD Phaeo</t>
  </si>
  <si>
    <t>Pheo/chl</t>
  </si>
  <si>
    <t>SD Phaeo/Chl</t>
  </si>
  <si>
    <t>mean chl (ug/L)</t>
  </si>
  <si>
    <t>control</t>
  </si>
  <si>
    <t>SD control</t>
  </si>
  <si>
    <t>SAMW</t>
  </si>
  <si>
    <t>SD SAMW</t>
  </si>
  <si>
    <t>NO3</t>
  </si>
  <si>
    <t>SD NO3</t>
  </si>
  <si>
    <t>Si</t>
  </si>
  <si>
    <t>SD Si</t>
  </si>
  <si>
    <t>Fe + Si</t>
  </si>
  <si>
    <t>SD Fe+Si</t>
  </si>
  <si>
    <t>Fe</t>
  </si>
  <si>
    <t>SD Fe</t>
  </si>
  <si>
    <t>T from 0 (hrs)</t>
  </si>
  <si>
    <t>!=E4</t>
  </si>
  <si>
    <t>mean pheo</t>
  </si>
  <si>
    <t>pheo/chl</t>
  </si>
  <si>
    <t>!=E22</t>
  </si>
  <si>
    <t>!=J25</t>
  </si>
  <si>
    <t>!=J43</t>
  </si>
  <si>
    <t>summary stats</t>
  </si>
  <si>
    <t>!=E4-IF(G4="h",$L$3,IF(G4="m",$L$4,IF(G4="l",$L$5,-99)))</t>
  </si>
  <si>
    <t>!=F4-IF(G4="h",$L$3,IF(G4="m",$L$4,IF(G4="l",$L$5,-99)))</t>
  </si>
  <si>
    <t>!=E5-IF(G5="h",$L$3,IF(G5="m",$L$4,IF(G5="l",$L$5,-99)))</t>
  </si>
  <si>
    <t>!=F5-IF(G5="h",$L$3,IF(G5="m",$L$4,IF(G5="l",$L$5,-99)))</t>
  </si>
  <si>
    <t>!=E6-IF(G6="h",$L$3,IF(G6="m",$L$4,IF(G6="l",$L$5,-99)))</t>
  </si>
  <si>
    <t>!=F6-IF(G6="h",$L$3,IF(G6="m",$L$4,IF(G6="l",$L$5,-99)))</t>
  </si>
  <si>
    <t>!=E10-IF(G10="h",$L$3,IF(G10="m",$L$4,IF(G10="l",$L$5,-99)))</t>
  </si>
  <si>
    <t>!=F10-IF(G10="h",$L$3,IF(G10="m",$L$4,IF(G10="l",$L$5,-99)))</t>
  </si>
  <si>
    <t>!=E11-IF(G11="h",$L$3,IF(G11="m",$L$4,IF(G11="l",$L$5,-99)))</t>
  </si>
  <si>
    <t>!=F11-IF(G11="h",$L$3,IF(G11="m",$L$4,IF(G11="l",$L$5,-99)))</t>
  </si>
  <si>
    <t>!=E12-IF(G12="h",$L$3,IF(G12="m",$L$4,IF(G12="l",$L$5,-99)))</t>
  </si>
  <si>
    <t>!=F12-IF(G12="h",$L$3,IF(G12="m",$L$4,IF(G12="l",$L$5,-99)))</t>
  </si>
  <si>
    <t>!=E13-IF(G13="h",$L$3,IF(G13="m",$L$4,IF(G13="l",$L$5,-99)))</t>
  </si>
  <si>
    <t>!=F13-IF(G13="h",$L$3,IF(G13="m",$L$4,IF(G13="l",$L$5,-99)))</t>
  </si>
  <si>
    <t>!=E14-IF(G14="h",$L$3,IF(G14="m",$L$4,IF(G14="l",$L$5,-99)))</t>
  </si>
  <si>
    <t>!=F14-IF(G14="h",$L$3,IF(G14="m",$L$4,IF(G14="l",$L$5,-99)))</t>
  </si>
  <si>
    <t>!=E16-IF(G16="h",$L$3,IF(G16="m",$L$4,IF(G16="l",$L$5,-99)))</t>
  </si>
  <si>
    <t>!=F16-IF(G16="h",$L$3,IF(G16="m",$L$4,IF(G16="l",$L$5,-99)))</t>
  </si>
  <si>
    <t>!=E17-IF(G17="h",$L$3,IF(G17="m",$L$4,IF(G17="l",$L$5,-99)))</t>
  </si>
  <si>
    <t>!=F17-IF(G17="h",$L$3,IF(G17="m",$L$4,IF(G17="l",$L$5,-99)))</t>
  </si>
  <si>
    <t>1=E18-IF(G18="h",$L$3,IF(G18="m",$L$4,IF(G18="l",$L$5,-99)))</t>
  </si>
  <si>
    <t>!=F18-IF(G18="h",$L$3,IF(G18="m",$L$4,IF(G18="l",$L$5,-99)))</t>
  </si>
  <si>
    <t>!=E19-IF(G19="h",$L$3,IF(G19="m",$L$4,IF(G19="l",$L$5,-99)))</t>
  </si>
  <si>
    <t>!=F19-IF(G19="h",$L$3,IF(G19="m",$L$4,IF(G19="l",$L$5,-99)))</t>
  </si>
  <si>
    <t>!=E20-IF(G20="h",$L$3,IF(G20="m",$L$4,IF(G20="l",$L$5,-99)))</t>
  </si>
  <si>
    <t>!=F20-IF(G20="h",$L$3,IF(G20="m",$L$4,IF(G20="l",$L$5,-99)))</t>
  </si>
  <si>
    <t>!=E21-IF(G21="h",$L$3,IF(G21="m",$L$4,IF(G21="l",$L$5,-99)))</t>
  </si>
  <si>
    <t>!=F21-IF(G21="h",$L$3,IF(G21="m",$L$4,IF(G21="l",$L$5,-99)))</t>
  </si>
  <si>
    <t>!=E22-IF(G22="h",$L$3,IF(G22="m",$L$4,IF(G22="l",$L$5,-99)))</t>
  </si>
  <si>
    <t>!=F22-IF(G22="h",$L$3,IF(G22="m",$L$4,IF(G22="l",$L$5,-99)))</t>
  </si>
  <si>
    <t>!=E23-IF(G23="h",$L$3,IF(G23="m",$L$4,IF(G23="l",$L$5,-99)))</t>
  </si>
  <si>
    <t>!=F23-IF(G23="h",$L$3,IF(G23="m",$L$4,IF(G23="l",$L$5,-99)))</t>
  </si>
  <si>
    <t>!=E24-IF(G24="h",$L$3,IF(G24="m",$L$4,IF(G24="l",$L$5,-99)))</t>
  </si>
  <si>
    <t>!=F24-IF(G24="h",$L$3,IF(G24="m",$L$4,IF(G24="l",$L$5,-99)))</t>
  </si>
  <si>
    <t>!=E25-IF(G25="h",$L$3,IF(G25="m",$L$4,IF(G25="l",$L$5,-99)))</t>
  </si>
  <si>
    <t>!=F25-IF(G25="h",$L$3,IF(G25="m",$L$4,IF(G25="l",$L$5,-99)))</t>
  </si>
  <si>
    <t>!=E31-IF(G31="h",$L$11,IF(G31="m",$L$12,IF(G31="l",$L$13,-99)))</t>
  </si>
  <si>
    <t>!=F31-IF(G31="h",$L$11,IF(G31="m",$L$12,IF(G31="l",$L$13,-99)))</t>
  </si>
  <si>
    <t>!=E43-IF(G43="h",$L$11,IF(G43="m",$L$12,IF(G43="l",$L$13,-99)))</t>
  </si>
  <si>
    <t>!=F43-IF(G43="h",$L$11,IF(G43="m",$L$12,IF(G43="l",$L$13,-99)))</t>
  </si>
  <si>
    <t>!=E50-IF(G50="h",$L$15,IF(G50="m",$L$16,IF(G50="l",$L$17,-99)))</t>
  </si>
  <si>
    <t>!=F50-IF(G50="h",$L$15,IF(G50="m",$L$16,IF(G50="l",$L$17,-99)))</t>
  </si>
  <si>
    <t>!=E51-IF(G51="h",$L$15,IF(G51="m",$L$16,IF(G51="l",$L$17,-99)))</t>
  </si>
  <si>
    <t>!=F51-IF(G51="h",$L$15,IF(G51="m",$L$16,IF(G51="l",$L$17,-99)))</t>
  </si>
  <si>
    <t>!=E55-IF(G55="h",$L$15,IF(G55="m",$L$16,IF(G55="l",$L$17,-99)))</t>
  </si>
  <si>
    <t>!=F55-IF(G55="h",$L$15,IF(G55="m",$L$16,IF(G55="l",$L$17,-99)))</t>
  </si>
  <si>
    <t>!=E61-IF(G61="h",$L$15,IF(G61="m",$L$16,IF(G61="l",$L$17,-99)))</t>
  </si>
  <si>
    <t>!=F61-IF(G61="h",$L$15,IF(G61="m",$L$16,IF(G61="l",$L$17,-99)))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</si>
</sst>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0.0_)"/>
    <numFmt numFmtId="165" formatCode="0_)"/>
    <numFmt numFmtId="166" formatCode="0.00_)"/>
    <numFmt numFmtId="167" formatCode="0.000_)"/>
    <numFmt numFmtId="168" formatCode="0.0"/>
    <numFmt numFmtId="169" formatCode="0.0000"/>
    <numFmt numFmtId="170" formatCode="yyyymmdd"/>
    <numFmt numFmtId="171" formatCode="h:mm;@"/>
    <numFmt numFmtId="172" formatCode="0.000"/>
    <numFmt numFmtId="173" formatCode="m/d/yy\ h:mm;@"/>
    <numFmt numFmtId="174" formatCode="[h]:mm:ss;@"/>
  </numFmts>
  <fonts count="10">
    <font>
      <sz val="10"/>
      <name val="Geneva"/>
    </font>
    <font>
      <b/>
      <sz val="10"/>
      <name val="Geneva"/>
    </font>
    <font>
      <sz val="10"/>
      <name val="Geneva"/>
    </font>
    <font>
      <b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Geneva"/>
    </font>
    <font>
      <sz val="10"/>
      <color indexed="10"/>
      <name val="Geneva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 applyProtection="1">
      <alignment horizontal="center" wrapText="1"/>
    </xf>
    <xf numFmtId="164" fontId="1" fillId="0" borderId="0" xfId="0" applyNumberFormat="1" applyFont="1" applyAlignment="1" applyProtection="1">
      <alignment horizontal="center" wrapText="1"/>
    </xf>
    <xf numFmtId="168" fontId="1" fillId="0" borderId="0" xfId="0" applyNumberFormat="1" applyFont="1" applyAlignment="1" applyProtection="1">
      <alignment horizontal="center" wrapText="1"/>
    </xf>
    <xf numFmtId="165" fontId="1" fillId="0" borderId="0" xfId="0" applyNumberFormat="1" applyFont="1" applyAlignment="1" applyProtection="1">
      <alignment horizontal="center" wrapText="1"/>
    </xf>
    <xf numFmtId="166" fontId="1" fillId="0" borderId="0" xfId="0" applyNumberFormat="1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167" fontId="1" fillId="0" borderId="0" xfId="0" applyNumberFormat="1" applyFont="1" applyAlignment="1" applyProtection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 applyProtection="1">
      <alignment horizontal="center"/>
    </xf>
    <xf numFmtId="0" fontId="2" fillId="0" borderId="0" xfId="0" applyFont="1" applyAlignment="1">
      <alignment horizontal="center" wrapText="1"/>
    </xf>
    <xf numFmtId="168" fontId="0" fillId="0" borderId="0" xfId="0" applyNumberFormat="1" applyAlignment="1">
      <alignment horizontal="center"/>
    </xf>
    <xf numFmtId="21" fontId="1" fillId="0" borderId="0" xfId="0" applyNumberFormat="1" applyFont="1" applyAlignment="1" applyProtection="1">
      <alignment horizontal="center" wrapText="1"/>
    </xf>
    <xf numFmtId="21" fontId="0" fillId="0" borderId="0" xfId="0" applyNumberFormat="1" applyAlignment="1">
      <alignment horizontal="center"/>
    </xf>
    <xf numFmtId="0" fontId="0" fillId="0" borderId="0" xfId="0" applyFill="1"/>
    <xf numFmtId="0" fontId="0" fillId="2" borderId="0" xfId="0" applyFill="1" applyProtection="1">
      <protection locked="0"/>
    </xf>
    <xf numFmtId="14" fontId="0" fillId="0" borderId="0" xfId="0" applyNumberFormat="1"/>
    <xf numFmtId="0" fontId="0" fillId="2" borderId="0" xfId="0" applyFill="1" applyBorder="1" applyProtection="1">
      <protection locked="0"/>
    </xf>
    <xf numFmtId="0" fontId="0" fillId="0" borderId="0" xfId="0" applyAlignment="1"/>
    <xf numFmtId="0" fontId="0" fillId="0" borderId="0" xfId="0" applyAlignment="1">
      <alignment horizontal="center" wrapText="1"/>
    </xf>
    <xf numFmtId="2" fontId="0" fillId="0" borderId="0" xfId="0" applyNumberFormat="1"/>
    <xf numFmtId="170" fontId="2" fillId="0" borderId="0" xfId="0" applyNumberFormat="1" applyFont="1" applyAlignment="1">
      <alignment horizontal="left"/>
    </xf>
    <xf numFmtId="21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wrapText="1"/>
    </xf>
    <xf numFmtId="169" fontId="0" fillId="0" borderId="0" xfId="0" applyNumberFormat="1"/>
    <xf numFmtId="2" fontId="7" fillId="0" borderId="0" xfId="0" applyNumberFormat="1" applyFont="1"/>
    <xf numFmtId="0" fontId="7" fillId="0" borderId="0" xfId="0" applyFont="1"/>
    <xf numFmtId="171" fontId="0" fillId="0" borderId="0" xfId="0" applyNumberFormat="1"/>
    <xf numFmtId="171" fontId="0" fillId="0" borderId="0" xfId="0" applyNumberFormat="1" applyAlignment="1">
      <alignment horizontal="center" wrapText="1"/>
    </xf>
    <xf numFmtId="1" fontId="0" fillId="0" borderId="0" xfId="0" applyNumberFormat="1" applyAlignment="1">
      <alignment horizontal="center"/>
    </xf>
    <xf numFmtId="172" fontId="2" fillId="0" borderId="0" xfId="0" applyNumberFormat="1" applyFont="1" applyAlignment="1" applyProtection="1">
      <alignment horizontal="center"/>
    </xf>
    <xf numFmtId="172" fontId="2" fillId="0" borderId="0" xfId="0" applyNumberFormat="1" applyFont="1" applyAlignment="1" applyProtection="1">
      <alignment horizontal="center" wrapText="1"/>
    </xf>
    <xf numFmtId="172" fontId="2" fillId="0" borderId="0" xfId="0" applyNumberFormat="1" applyFont="1" applyAlignment="1">
      <alignment horizontal="center" wrapText="1"/>
    </xf>
    <xf numFmtId="172" fontId="0" fillId="0" borderId="0" xfId="0" applyNumberFormat="1" applyAlignment="1" applyProtection="1">
      <alignment horizontal="center"/>
    </xf>
    <xf numFmtId="172" fontId="0" fillId="0" borderId="0" xfId="0" applyNumberFormat="1"/>
    <xf numFmtId="173" fontId="0" fillId="2" borderId="0" xfId="0" applyNumberFormat="1" applyFill="1" applyProtection="1">
      <protection locked="0"/>
    </xf>
    <xf numFmtId="174" fontId="0" fillId="2" borderId="0" xfId="0" applyNumberFormat="1" applyFill="1" applyProtection="1">
      <protection locked="0"/>
    </xf>
    <xf numFmtId="174" fontId="0" fillId="0" borderId="0" xfId="0" applyNumberFormat="1"/>
    <xf numFmtId="1" fontId="2" fillId="0" borderId="0" xfId="0" applyNumberFormat="1" applyFont="1" applyAlignment="1" applyProtection="1">
      <alignment horizontal="center" wrapText="1"/>
    </xf>
    <xf numFmtId="1" fontId="2" fillId="0" borderId="0" xfId="0" applyNumberFormat="1" applyFont="1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2" fontId="2" fillId="0" borderId="0" xfId="0" applyNumberFormat="1" applyFont="1" applyAlignment="1" applyProtection="1">
      <alignment horizontal="center"/>
    </xf>
    <xf numFmtId="0" fontId="0" fillId="2" borderId="0" xfId="0" applyFill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Protection="1">
      <protection locked="0"/>
    </xf>
    <xf numFmtId="169" fontId="2" fillId="0" borderId="0" xfId="0" applyNumberFormat="1" applyFont="1" applyAlignment="1" applyProtection="1">
      <alignment horizontal="center" wrapText="1"/>
    </xf>
    <xf numFmtId="0" fontId="0" fillId="0" borderId="0" xfId="0"/>
    <xf numFmtId="0" fontId="0" fillId="0" borderId="0" xfId="0" applyAlignment="1" applyProtection="1">
      <alignment horizontal="center"/>
    </xf>
    <xf numFmtId="14" fontId="0" fillId="0" borderId="0" xfId="0" applyNumberFormat="1"/>
    <xf numFmtId="0" fontId="0" fillId="2" borderId="0" xfId="0" applyFill="1" applyBorder="1" applyProtection="1">
      <protection locked="0"/>
    </xf>
    <xf numFmtId="172" fontId="0" fillId="0" borderId="0" xfId="0" applyNumberFormat="1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>
                <a:solidFill>
                  <a:sysClr val="windowText" lastClr="000000"/>
                </a:solidFill>
              </a:rPr>
              <a:t>Mean Chl</a:t>
            </a:r>
            <a:r>
              <a:rPr lang="en-US" sz="2400" baseline="0">
                <a:solidFill>
                  <a:sysClr val="windowText" lastClr="000000"/>
                </a:solidFill>
              </a:rPr>
              <a:t> </a:t>
            </a:r>
            <a:r>
              <a:rPr lang="en-US" sz="2400" i="1" baseline="0">
                <a:solidFill>
                  <a:sysClr val="windowText" lastClr="000000"/>
                </a:solidFill>
              </a:rPr>
              <a:t>a</a:t>
            </a:r>
            <a:r>
              <a:rPr lang="en-US" sz="2400" baseline="0">
                <a:solidFill>
                  <a:sysClr val="windowText" lastClr="000000"/>
                </a:solidFill>
              </a:rPr>
              <a:t> vs. Time</a:t>
            </a:r>
            <a:endParaRPr lang="en-US" sz="2400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409361073267601"/>
          <c:y val="8.2535433070866138E-2"/>
          <c:w val="0.69926276224402595"/>
          <c:h val="0.77449152946790745"/>
        </c:manualLayout>
      </c:layout>
      <c:scatterChart>
        <c:scatterStyle val="lineMarker"/>
        <c:varyColors val="0"/>
        <c:ser>
          <c:idx val="0"/>
          <c:order val="0"/>
          <c:tx>
            <c:v>Control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10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2700">
                <a:prstDash val="sysDot"/>
              </a:ln>
            </c:spPr>
            <c:trendlineType val="linear"/>
            <c:dispRSqr val="1"/>
            <c:dispEq val="1"/>
            <c:trendlineLbl>
              <c:layout>
                <c:manualLayout>
                  <c:x val="0.10220361444991798"/>
                  <c:y val="0.14388427703202228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Control;; y = 0.0968x + 0.9464</a:t>
                    </a:r>
                    <a:br>
                      <a:rPr lang="en-US" baseline="0"/>
                    </a:br>
                    <a:r>
                      <a:rPr lang="en-US" baseline="0"/>
                      <a:t>R² = 0.5336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and calculations'!$N$2:$N$5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1.5275252316519505E-2</c:v>
                  </c:pt>
                  <c:pt idx="3">
                    <c:v>8.3864970836060718E-2</c:v>
                  </c:pt>
                </c:numCache>
              </c:numRef>
            </c:plus>
            <c:minus>
              <c:numRef>
                <c:f>'stats and calculations'!$N$2:$N$5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1.5275252316519505E-2</c:v>
                  </c:pt>
                  <c:pt idx="3">
                    <c:v>8.3864970836060718E-2</c:v>
                  </c:pt>
                </c:numCache>
              </c:numRef>
            </c:minus>
          </c:errBars>
          <c:xVal>
            <c:numRef>
              <c:f>'stats and calculations'!$Z$2:$Z$5</c:f>
              <c:numCache>
                <c:formatCode>[h]:mm:ss;@</c:formatCode>
                <c:ptCount val="4"/>
                <c:pt idx="0">
                  <c:v>0</c:v>
                </c:pt>
                <c:pt idx="1">
                  <c:v>1.0541666666686069</c:v>
                </c:pt>
                <c:pt idx="2">
                  <c:v>2.0645833333328483</c:v>
                </c:pt>
                <c:pt idx="3">
                  <c:v>5.0645833333328483</c:v>
                </c:pt>
              </c:numCache>
            </c:numRef>
          </c:xVal>
          <c:yVal>
            <c:numRef>
              <c:f>'stats and calculations'!$M$2:$M$5</c:f>
              <c:numCache>
                <c:formatCode>General</c:formatCode>
                <c:ptCount val="4"/>
                <c:pt idx="0">
                  <c:v>0.78100000000000003</c:v>
                </c:pt>
                <c:pt idx="1">
                  <c:v>1.05</c:v>
                </c:pt>
                <c:pt idx="2">
                  <c:v>1.4233333333333336</c:v>
                </c:pt>
                <c:pt idx="3">
                  <c:v>1.3233333333333335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44-4507-B032-4C3AD801EAC7}"/>
            </c:ext>
          </c:extLst>
        </c:ser>
        <c:ser>
          <c:idx val="1"/>
          <c:order val="1"/>
          <c:tx>
            <c:v>+SAMW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2"/>
            <c:spPr>
              <a:solidFill>
                <a:schemeClr val="tx1"/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19050">
                <a:prstDash val="dash"/>
              </a:ln>
            </c:spPr>
            <c:trendlineType val="linear"/>
            <c:dispRSqr val="1"/>
            <c:dispEq val="1"/>
            <c:trendlineLbl>
              <c:layout>
                <c:manualLayout>
                  <c:x val="9.5686579438700958E-2"/>
                  <c:y val="0.2833838490141313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+SAMW; y = 0.2072x + 0.5777</a:t>
                    </a:r>
                    <a:br>
                      <a:rPr lang="en-US" baseline="0"/>
                    </a:br>
                    <a:r>
                      <a:rPr lang="en-US" baseline="0"/>
                      <a:t>R² = 0.3278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and calculations'!$P$2:$P$5</c:f>
                <c:numCache>
                  <c:formatCode>General</c:formatCode>
                  <c:ptCount val="4"/>
                  <c:pt idx="0">
                    <c:v>1.9798989873223347E-2</c:v>
                  </c:pt>
                  <c:pt idx="1">
                    <c:v>0</c:v>
                  </c:pt>
                  <c:pt idx="2">
                    <c:v>0.12055427546683428</c:v>
                  </c:pt>
                  <c:pt idx="3">
                    <c:v>8.4852813742385624E-2</c:v>
                  </c:pt>
                </c:numCache>
              </c:numRef>
            </c:plus>
            <c:minus>
              <c:numRef>
                <c:f>'stats and calculations'!$P$2:$P$5</c:f>
                <c:numCache>
                  <c:formatCode>General</c:formatCode>
                  <c:ptCount val="4"/>
                  <c:pt idx="0">
                    <c:v>1.9798989873223347E-2</c:v>
                  </c:pt>
                  <c:pt idx="1">
                    <c:v>0</c:v>
                  </c:pt>
                  <c:pt idx="2">
                    <c:v>0.12055427546683428</c:v>
                  </c:pt>
                  <c:pt idx="3">
                    <c:v>8.4852813742385624E-2</c:v>
                  </c:pt>
                </c:numCache>
              </c:numRef>
            </c:minus>
          </c:errBars>
          <c:xVal>
            <c:numRef>
              <c:f>'stats and calculations'!$AA$2:$AA$5</c:f>
              <c:numCache>
                <c:formatCode>[h]:mm:ss;@</c:formatCode>
                <c:ptCount val="4"/>
                <c:pt idx="0">
                  <c:v>9.3055555553291924E-2</c:v>
                </c:pt>
                <c:pt idx="1">
                  <c:v>1.0541666666686069</c:v>
                </c:pt>
                <c:pt idx="2">
                  <c:v>2.1062499999970896</c:v>
                </c:pt>
                <c:pt idx="3">
                  <c:v>5.1062499999970896</c:v>
                </c:pt>
              </c:numCache>
            </c:numRef>
          </c:xVal>
          <c:yVal>
            <c:numRef>
              <c:f>'stats and calculations'!$O$2:$O$5</c:f>
              <c:numCache>
                <c:formatCode>General</c:formatCode>
                <c:ptCount val="4"/>
                <c:pt idx="0">
                  <c:v>0.79600000000000004</c:v>
                </c:pt>
                <c:pt idx="2">
                  <c:v>1.7566666666666668</c:v>
                </c:pt>
                <c:pt idx="3">
                  <c:v>1.4900000000000002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344-4507-B032-4C3AD801EAC7}"/>
            </c:ext>
          </c:extLst>
        </c:ser>
        <c:ser>
          <c:idx val="2"/>
          <c:order val="2"/>
          <c:tx>
            <c:v>+NO3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chemeClr val="tx1"/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19050">
                <a:prstDash val="lgDashDotDot"/>
              </a:ln>
            </c:spPr>
            <c:trendlineType val="linear"/>
            <c:dispRSqr val="1"/>
            <c:dispEq val="1"/>
            <c:trendlineLbl>
              <c:layout>
                <c:manualLayout>
                  <c:x val="9.7551223259121314E-2"/>
                  <c:y val="0.4231245131564150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+NO3i; y = 0.2668x + 0.4678</a:t>
                    </a:r>
                    <a:br>
                      <a:rPr lang="en-US" baseline="0"/>
                    </a:br>
                    <a:r>
                      <a:rPr lang="en-US" baseline="0"/>
                      <a:t>R² = 0.5363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and calculations'!$R$2:$R$5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0.14142135623730948</c:v>
                  </c:pt>
                  <c:pt idx="3">
                    <c:v>0.13435028842544414</c:v>
                  </c:pt>
                </c:numCache>
              </c:numRef>
            </c:plus>
            <c:minus>
              <c:numRef>
                <c:f>'stats and calculations'!$R$2:$R$5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0.14142135623730948</c:v>
                  </c:pt>
                  <c:pt idx="3">
                    <c:v>0.13435028842544414</c:v>
                  </c:pt>
                </c:numCache>
              </c:numRef>
            </c:minus>
          </c:errBars>
          <c:xVal>
            <c:numRef>
              <c:f>'stats and calculations'!$AB$2:$AB$5</c:f>
              <c:numCache>
                <c:formatCode>[h]:mm:ss;@</c:formatCode>
                <c:ptCount val="4"/>
                <c:pt idx="0">
                  <c:v>0</c:v>
                </c:pt>
                <c:pt idx="1">
                  <c:v>1.0541666666686069</c:v>
                </c:pt>
                <c:pt idx="2">
                  <c:v>2.0854166666686069</c:v>
                </c:pt>
                <c:pt idx="3">
                  <c:v>5.0854166666686069</c:v>
                </c:pt>
              </c:numCache>
            </c:numRef>
          </c:xVal>
          <c:yVal>
            <c:numRef>
              <c:f>'stats and calculations'!$Q$2:$Q$5</c:f>
              <c:numCache>
                <c:formatCode>General</c:formatCode>
                <c:ptCount val="4"/>
                <c:pt idx="0">
                  <c:v>0.78100000000000003</c:v>
                </c:pt>
                <c:pt idx="2">
                  <c:v>1.5</c:v>
                </c:pt>
                <c:pt idx="3">
                  <c:v>1.7850000000000001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344-4507-B032-4C3AD801EAC7}"/>
            </c:ext>
          </c:extLst>
        </c:ser>
        <c:ser>
          <c:idx val="3"/>
          <c:order val="3"/>
          <c:tx>
            <c:v>+Si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12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19050"/>
            </c:spPr>
            <c:trendlineType val="linear"/>
            <c:dispRSqr val="1"/>
            <c:dispEq val="1"/>
            <c:trendlineLbl>
              <c:layout>
                <c:manualLayout>
                  <c:x val="7.8719611243311366E-2"/>
                  <c:y val="0.3905529623168195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+Si; y = 0.2083x + 0.5008</a:t>
                    </a:r>
                    <a:br>
                      <a:rPr lang="en-US" baseline="0"/>
                    </a:br>
                    <a:r>
                      <a:rPr lang="en-US" baseline="0"/>
                      <a:t>R² = 0.4281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and calculations'!$T$2:$T$5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3.785938897200173E-2</c:v>
                  </c:pt>
                  <c:pt idx="3">
                    <c:v>1.4142135623730963E-2</c:v>
                  </c:pt>
                </c:numCache>
              </c:numRef>
            </c:plus>
            <c:minus>
              <c:numRef>
                <c:f>'stats and calculations'!$T$2:$T$5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3.785938897200173E-2</c:v>
                  </c:pt>
                  <c:pt idx="3">
                    <c:v>1.4142135623730963E-2</c:v>
                  </c:pt>
                </c:numCache>
              </c:numRef>
            </c:minus>
          </c:errBars>
          <c:xVal>
            <c:numRef>
              <c:f>'stats and calculations'!$AC$2:$AC$5</c:f>
              <c:numCache>
                <c:formatCode>[h]:mm:ss;@</c:formatCode>
                <c:ptCount val="4"/>
                <c:pt idx="0">
                  <c:v>0</c:v>
                </c:pt>
                <c:pt idx="1">
                  <c:v>1.0541666666686069</c:v>
                </c:pt>
                <c:pt idx="2">
                  <c:v>2.1270833333328483</c:v>
                </c:pt>
                <c:pt idx="3">
                  <c:v>5.1270833333328483</c:v>
                </c:pt>
              </c:numCache>
            </c:numRef>
          </c:xVal>
          <c:yVal>
            <c:numRef>
              <c:f>'stats and calculations'!$S$2:$S$5</c:f>
              <c:numCache>
                <c:formatCode>General</c:formatCode>
                <c:ptCount val="4"/>
                <c:pt idx="0">
                  <c:v>0.78100000000000003</c:v>
                </c:pt>
                <c:pt idx="2">
                  <c:v>1.4433333333333334</c:v>
                </c:pt>
                <c:pt idx="3">
                  <c:v>1.51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344-4507-B032-4C3AD801EAC7}"/>
            </c:ext>
          </c:extLst>
        </c:ser>
        <c:ser>
          <c:idx val="4"/>
          <c:order val="4"/>
          <c:tx>
            <c:v>+Fe+Si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19050">
                <a:prstDash val="lgDash"/>
              </a:ln>
            </c:spPr>
            <c:trendlineType val="linear"/>
            <c:dispRSqr val="1"/>
            <c:dispEq val="1"/>
            <c:trendlineLbl>
              <c:layout>
                <c:manualLayout>
                  <c:x val="9.2164589674076813E-2"/>
                  <c:y val="0.5368675117687076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Fe+Si; y = 0.2632x + 0.4422</a:t>
                    </a:r>
                    <a:br>
                      <a:rPr lang="en-US" baseline="0"/>
                    </a:br>
                    <a:r>
                      <a:rPr lang="en-US" baseline="0"/>
                      <a:t>R² = 0.5633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and calculations'!$V$2:$V$5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4.1633319989322654E-2</c:v>
                  </c:pt>
                  <c:pt idx="3">
                    <c:v>5.5075705472861079E-2</c:v>
                  </c:pt>
                </c:numCache>
              </c:numRef>
            </c:plus>
            <c:minus>
              <c:numRef>
                <c:f>'stats and calculations'!$V$2:$V$5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4.1633319989322654E-2</c:v>
                  </c:pt>
                  <c:pt idx="3">
                    <c:v>5.5075705472861079E-2</c:v>
                  </c:pt>
                </c:numCache>
              </c:numRef>
            </c:minus>
          </c:errBars>
          <c:xVal>
            <c:numRef>
              <c:f>'stats and calculations'!$AD$2:$AD$5</c:f>
              <c:numCache>
                <c:formatCode>[h]:mm:ss;@</c:formatCode>
                <c:ptCount val="4"/>
                <c:pt idx="0">
                  <c:v>0</c:v>
                </c:pt>
                <c:pt idx="1">
                  <c:v>1.0541666666686069</c:v>
                </c:pt>
                <c:pt idx="2">
                  <c:v>2.1444444444423425</c:v>
                </c:pt>
                <c:pt idx="3">
                  <c:v>5.1444444444423425</c:v>
                </c:pt>
              </c:numCache>
            </c:numRef>
          </c:xVal>
          <c:yVal>
            <c:numRef>
              <c:f>'stats and calculations'!$U$2:$U$5</c:f>
              <c:numCache>
                <c:formatCode>General</c:formatCode>
                <c:ptCount val="4"/>
                <c:pt idx="0">
                  <c:v>0.78100000000000003</c:v>
                </c:pt>
                <c:pt idx="2">
                  <c:v>1.406666666666667</c:v>
                </c:pt>
                <c:pt idx="3">
                  <c:v>1.7766666666666666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344-4507-B032-4C3AD801EAC7}"/>
            </c:ext>
          </c:extLst>
        </c:ser>
        <c:ser>
          <c:idx val="5"/>
          <c:order val="5"/>
          <c:tx>
            <c:v>+Fe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6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19050">
                <a:prstDash val="sysDash"/>
              </a:ln>
            </c:spPr>
            <c:trendlineType val="linear"/>
            <c:dispRSqr val="1"/>
            <c:dispEq val="1"/>
            <c:trendlineLbl>
              <c:layout>
                <c:manualLayout>
                  <c:x val="7.9653661596069195E-2"/>
                  <c:y val="0.4648450356348488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+Fe; y = 0.1141x + 0.8751</a:t>
                    </a:r>
                    <a:br>
                      <a:rPr lang="en-US" baseline="0"/>
                    </a:br>
                    <a:r>
                      <a:rPr lang="en-US" baseline="0"/>
                      <a:t>R² = 0.7415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and calculations'!$X$2:$X$5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9.1923881554251255E-2</c:v>
                  </c:pt>
                  <c:pt idx="3">
                    <c:v>1.4142135623730963E-2</c:v>
                  </c:pt>
                </c:numCache>
              </c:numRef>
            </c:plus>
            <c:minus>
              <c:numRef>
                <c:f>'stats and calculations'!$X$2:$X$5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9.1923881554251255E-2</c:v>
                  </c:pt>
                  <c:pt idx="3">
                    <c:v>1.4142135623730963E-2</c:v>
                  </c:pt>
                </c:numCache>
              </c:numRef>
            </c:minus>
          </c:errBars>
          <c:xVal>
            <c:numRef>
              <c:f>'stats and calculations'!$AE$2:$AE$5</c:f>
              <c:numCache>
                <c:formatCode>[h]:mm:ss;@</c:formatCode>
                <c:ptCount val="4"/>
                <c:pt idx="0">
                  <c:v>0</c:v>
                </c:pt>
                <c:pt idx="1">
                  <c:v>1.0541666666686069</c:v>
                </c:pt>
                <c:pt idx="2">
                  <c:v>2.1652777777781012</c:v>
                </c:pt>
                <c:pt idx="3">
                  <c:v>5.1652777777781012</c:v>
                </c:pt>
              </c:numCache>
            </c:numRef>
          </c:xVal>
          <c:yVal>
            <c:numRef>
              <c:f>'stats and calculations'!$W$2:$W$5</c:f>
              <c:numCache>
                <c:formatCode>General</c:formatCode>
                <c:ptCount val="4"/>
                <c:pt idx="0">
                  <c:v>0.78100000000000003</c:v>
                </c:pt>
                <c:pt idx="1">
                  <c:v>0.95100000000000007</c:v>
                </c:pt>
                <c:pt idx="2">
                  <c:v>1.3450000000000002</c:v>
                </c:pt>
                <c:pt idx="3">
                  <c:v>1.3800000000000001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1344-4507-B032-4C3AD801E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091648"/>
        <c:axId val="108110208"/>
      </c:scatterChart>
      <c:valAx>
        <c:axId val="108091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>
                    <a:solidFill>
                      <a:sysClr val="windowText" lastClr="000000"/>
                    </a:solidFill>
                  </a:rPr>
                  <a:t>Time (hours)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[h]:mm:ss;@" sourceLinked="1"/>
        <c:majorTickMark val="in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110208"/>
        <c:crosses val="autoZero"/>
        <c:crossBetween val="midCat"/>
      </c:valAx>
      <c:valAx>
        <c:axId val="108110208"/>
        <c:scaling>
          <c:orientation val="minMax"/>
          <c:max val="2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800">
                    <a:solidFill>
                      <a:sysClr val="windowText" lastClr="000000"/>
                    </a:solidFill>
                  </a:rPr>
                  <a:t>mean chl</a:t>
                </a:r>
                <a:r>
                  <a:rPr lang="en-US" sz="2800" baseline="0">
                    <a:solidFill>
                      <a:sysClr val="windowText" lastClr="000000"/>
                    </a:solidFill>
                  </a:rPr>
                  <a:t> </a:t>
                </a:r>
                <a:r>
                  <a:rPr lang="en-US" sz="2800" i="1" baseline="0">
                    <a:solidFill>
                      <a:sysClr val="windowText" lastClr="000000"/>
                    </a:solidFill>
                  </a:rPr>
                  <a:t>a</a:t>
                </a:r>
                <a:r>
                  <a:rPr lang="en-US" sz="2800" baseline="0">
                    <a:solidFill>
                      <a:sysClr val="windowText" lastClr="000000"/>
                    </a:solidFill>
                  </a:rPr>
                  <a:t> (</a:t>
                </a:r>
                <a:r>
                  <a:rPr lang="en-US" sz="2800" baseline="0">
                    <a:solidFill>
                      <a:sysClr val="windowText" lastClr="000000"/>
                    </a:solidFill>
                    <a:latin typeface="Symbol" panose="05050102010706020507" pitchFamily="18" charset="2"/>
                  </a:rPr>
                  <a:t>m</a:t>
                </a:r>
                <a:r>
                  <a:rPr lang="en-US" sz="2800" baseline="0">
                    <a:solidFill>
                      <a:sysClr val="windowText" lastClr="000000"/>
                    </a:solidFill>
                  </a:rPr>
                  <a:t>g/L)</a:t>
                </a:r>
                <a:endParaRPr lang="en-US" sz="2800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in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09164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4970107738433176"/>
          <c:y val="0.40908010175992521"/>
          <c:w val="0.13262389847345207"/>
          <c:h val="0.429673566675347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>
                <a:solidFill>
                  <a:sysClr val="windowText" lastClr="000000"/>
                </a:solidFill>
              </a:rPr>
              <a:t>Mean </a:t>
            </a:r>
            <a:r>
              <a:rPr lang="en-US" sz="2400" baseline="0">
                <a:solidFill>
                  <a:sysClr val="windowText" lastClr="000000"/>
                </a:solidFill>
              </a:rPr>
              <a:t>Pheo vs. Time</a:t>
            </a:r>
            <a:endParaRPr lang="en-US" sz="24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35418009990287663"/>
          <c:y val="8.08080808080808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4386808406210444"/>
          <c:y val="8.2535433070866138E-2"/>
          <c:w val="0.68480550243158"/>
          <c:h val="0.7744915294679074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triangle"/>
            <c:size val="10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5875"/>
            </c:spPr>
            <c:trendlineType val="linear"/>
            <c:dispRSqr val="1"/>
            <c:dispEq val="1"/>
            <c:trendlineLbl>
              <c:layout>
                <c:manualLayout>
                  <c:x val="0.28556728168494966"/>
                  <c:y val="-0.23618598141332309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Control; y = 0.0003x + 0.0363
R² = 0.004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and calculations'!$N$13:$N$14</c:f>
                <c:numCache>
                  <c:formatCode>General</c:formatCode>
                  <c:ptCount val="2"/>
                  <c:pt idx="0">
                    <c:v>9.756352850577946E-3</c:v>
                  </c:pt>
                  <c:pt idx="1">
                    <c:v>3.8785806724024131E-2</c:v>
                  </c:pt>
                </c:numCache>
              </c:numRef>
            </c:plus>
            <c:minus>
              <c:numRef>
                <c:f>'stats and calculations'!$N$13:$N$14</c:f>
                <c:numCache>
                  <c:formatCode>General</c:formatCode>
                  <c:ptCount val="2"/>
                  <c:pt idx="0">
                    <c:v>9.756352850577946E-3</c:v>
                  </c:pt>
                  <c:pt idx="1">
                    <c:v>3.8785806724024131E-2</c:v>
                  </c:pt>
                </c:numCache>
              </c:numRef>
            </c:minus>
          </c:errBars>
          <c:xVal>
            <c:numRef>
              <c:f>'stats and calculations'!$Z$11:$Z$14</c:f>
              <c:numCache>
                <c:formatCode>[h]:mm:ss;@</c:formatCode>
                <c:ptCount val="4"/>
                <c:pt idx="0">
                  <c:v>0</c:v>
                </c:pt>
                <c:pt idx="1">
                  <c:v>1.0541666666686069</c:v>
                </c:pt>
                <c:pt idx="2">
                  <c:v>2.0645833333328483</c:v>
                </c:pt>
                <c:pt idx="3">
                  <c:v>5.0645833333328483</c:v>
                </c:pt>
              </c:numCache>
            </c:numRef>
          </c:xVal>
          <c:yVal>
            <c:numRef>
              <c:f>'stats and calculations'!$M$11:$M$14</c:f>
              <c:numCache>
                <c:formatCode>General</c:formatCode>
                <c:ptCount val="4"/>
                <c:pt idx="0">
                  <c:v>0.11639474400000012</c:v>
                </c:pt>
                <c:pt idx="1">
                  <c:v>0.1407311200000004</c:v>
                </c:pt>
                <c:pt idx="2">
                  <c:v>0.16493790933333338</c:v>
                </c:pt>
                <c:pt idx="3">
                  <c:v>0.16975853333333343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control</c:v>
                </c15:tx>
              </c15:filteredSeriesTitle>
            </c:ext>
            <c:ext xmlns:c16="http://schemas.microsoft.com/office/drawing/2014/chart" uri="{C3380CC4-5D6E-409C-BE32-E72D297353CC}">
              <c16:uniqueId val="{00000001-B0C4-4B28-8C0A-852BA2E5545C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diamond"/>
            <c:size val="12"/>
            <c:spPr>
              <a:solidFill>
                <a:schemeClr val="tx1"/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19050">
                <a:prstDash val="sysDot"/>
              </a:ln>
            </c:spPr>
            <c:trendlineType val="linear"/>
            <c:dispRSqr val="1"/>
            <c:dispEq val="1"/>
            <c:trendlineLbl>
              <c:layout>
                <c:manualLayout>
                  <c:x val="0.28172110251668953"/>
                  <c:y val="-0.15496046768429239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SAMW; y = -0.0159x + 0.0401
R² = 0.7695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and calculations'!$P$13:$P$14</c:f>
                <c:numCache>
                  <c:formatCode>General</c:formatCode>
                  <c:ptCount val="2"/>
                  <c:pt idx="0">
                    <c:v>2.6263608221384446E-2</c:v>
                  </c:pt>
                  <c:pt idx="1">
                    <c:v>3.9914729643293144E-2</c:v>
                  </c:pt>
                </c:numCache>
              </c:numRef>
            </c:plus>
            <c:minus>
              <c:numRef>
                <c:f>'stats and calculations'!$P$13:$P$14</c:f>
                <c:numCache>
                  <c:formatCode>General</c:formatCode>
                  <c:ptCount val="2"/>
                  <c:pt idx="0">
                    <c:v>2.6263608221384446E-2</c:v>
                  </c:pt>
                  <c:pt idx="1">
                    <c:v>3.9914729643293144E-2</c:v>
                  </c:pt>
                </c:numCache>
              </c:numRef>
            </c:minus>
          </c:errBars>
          <c:xVal>
            <c:numRef>
              <c:f>'stats and calculations'!$AA$11:$AA$14</c:f>
              <c:numCache>
                <c:formatCode>[h]:mm:ss;@</c:formatCode>
                <c:ptCount val="4"/>
                <c:pt idx="0">
                  <c:v>9.3055555553291924E-2</c:v>
                </c:pt>
                <c:pt idx="1">
                  <c:v>1.0541666666686069</c:v>
                </c:pt>
                <c:pt idx="2">
                  <c:v>2.1062499999970896</c:v>
                </c:pt>
                <c:pt idx="3">
                  <c:v>5.1062499999970896</c:v>
                </c:pt>
              </c:numCache>
            </c:numRef>
          </c:xVal>
          <c:yVal>
            <c:numRef>
              <c:f>'stats and calculations'!$O$11:$O$14</c:f>
              <c:numCache>
                <c:formatCode>General</c:formatCode>
                <c:ptCount val="4"/>
                <c:pt idx="0">
                  <c:v>0.14267492000000001</c:v>
                </c:pt>
                <c:pt idx="1">
                  <c:v>9.6490232000000259E-2</c:v>
                </c:pt>
                <c:pt idx="2">
                  <c:v>0.20371023999999968</c:v>
                </c:pt>
                <c:pt idx="3">
                  <c:v>0.1706656400000002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SAMW</c:v>
                </c15:tx>
              </c15:filteredSeriesTitle>
            </c:ext>
            <c:ext xmlns:c16="http://schemas.microsoft.com/office/drawing/2014/chart" uri="{C3380CC4-5D6E-409C-BE32-E72D297353CC}">
              <c16:uniqueId val="{00000003-B0C4-4B28-8C0A-852BA2E5545C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chemeClr val="tx1"/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15875">
                <a:prstDash val="dash"/>
              </a:ln>
            </c:spPr>
            <c:trendlineType val="linear"/>
            <c:dispRSqr val="1"/>
            <c:dispEq val="1"/>
            <c:trendlineLbl>
              <c:layout>
                <c:manualLayout>
                  <c:x val="0.2830721568345711"/>
                  <c:y val="-6.329342285127871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+NO3; y = -0.0428x + 0.2184
R² = 0.5088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and calculations'!$R$13:$R$14</c:f>
                <c:numCache>
                  <c:formatCode>General</c:formatCode>
                  <c:ptCount val="2"/>
                  <c:pt idx="0">
                    <c:v>6.8173918399009777E-3</c:v>
                  </c:pt>
                  <c:pt idx="1">
                    <c:v>2.7159609426703639E-2</c:v>
                  </c:pt>
                </c:numCache>
              </c:numRef>
            </c:plus>
            <c:minus>
              <c:numRef>
                <c:f>'stats and calculations'!$R$13:$R$14</c:f>
                <c:numCache>
                  <c:formatCode>General</c:formatCode>
                  <c:ptCount val="2"/>
                  <c:pt idx="0">
                    <c:v>6.8173918399009777E-3</c:v>
                  </c:pt>
                  <c:pt idx="1">
                    <c:v>2.7159609426703639E-2</c:v>
                  </c:pt>
                </c:numCache>
              </c:numRef>
            </c:minus>
          </c:errBars>
          <c:xVal>
            <c:numRef>
              <c:f>'stats and calculations'!$AB$11:$AB$14</c:f>
              <c:numCache>
                <c:formatCode>[h]:mm:ss;@</c:formatCode>
                <c:ptCount val="4"/>
                <c:pt idx="0">
                  <c:v>0</c:v>
                </c:pt>
                <c:pt idx="1">
                  <c:v>1.0541666666686069</c:v>
                </c:pt>
                <c:pt idx="2">
                  <c:v>2.0854166666686069</c:v>
                </c:pt>
                <c:pt idx="3">
                  <c:v>5.0854166666686069</c:v>
                </c:pt>
              </c:numCache>
            </c:numRef>
          </c:xVal>
          <c:yVal>
            <c:numRef>
              <c:f>'stats and calculations'!$Q$11:$Q$14</c:f>
              <c:numCache>
                <c:formatCode>General</c:formatCode>
                <c:ptCount val="4"/>
                <c:pt idx="2">
                  <c:v>0.16732230400000025</c:v>
                </c:pt>
                <c:pt idx="3">
                  <c:v>0.1891706160000004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NO3</c:v>
                </c15:tx>
              </c15:filteredSeriesTitle>
            </c:ext>
            <c:ext xmlns:c16="http://schemas.microsoft.com/office/drawing/2014/chart" uri="{C3380CC4-5D6E-409C-BE32-E72D297353CC}">
              <c16:uniqueId val="{00000005-B0C4-4B28-8C0A-852BA2E5545C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square"/>
            <c:size val="12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19050">
                <a:solidFill>
                  <a:schemeClr val="tx1">
                    <a:lumMod val="75000"/>
                    <a:lumOff val="25000"/>
                  </a:schemeClr>
                </a:solidFill>
                <a:prstDash val="dashDot"/>
              </a:ln>
            </c:spPr>
            <c:trendlineType val="linear"/>
            <c:dispRSqr val="1"/>
            <c:dispEq val="1"/>
            <c:trendlineLbl>
              <c:layout>
                <c:manualLayout>
                  <c:x val="0.27207487268822383"/>
                  <c:y val="-0.29321569573452244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+Si; y = -0.0408x + 0.2012
R² = 0.4308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and calculations'!$T$13:$T$14</c:f>
                <c:numCache>
                  <c:formatCode>General</c:formatCode>
                  <c:ptCount val="2"/>
                  <c:pt idx="0">
                    <c:v>2.1734060012030498E-2</c:v>
                  </c:pt>
                  <c:pt idx="1">
                    <c:v>4.7281911147701878E-3</c:v>
                  </c:pt>
                </c:numCache>
              </c:numRef>
            </c:plus>
            <c:minus>
              <c:numRef>
                <c:f>'stats and calculations'!$T$13:$T$14</c:f>
                <c:numCache>
                  <c:formatCode>General</c:formatCode>
                  <c:ptCount val="2"/>
                  <c:pt idx="0">
                    <c:v>2.1734060012030498E-2</c:v>
                  </c:pt>
                  <c:pt idx="1">
                    <c:v>4.7281911147701878E-3</c:v>
                  </c:pt>
                </c:numCache>
              </c:numRef>
            </c:minus>
          </c:errBars>
          <c:xVal>
            <c:numRef>
              <c:f>'stats and calculations'!$AC$11:$AC$14</c:f>
              <c:numCache>
                <c:formatCode>[h]:mm:ss;@</c:formatCode>
                <c:ptCount val="4"/>
                <c:pt idx="0">
                  <c:v>0</c:v>
                </c:pt>
                <c:pt idx="1">
                  <c:v>1.0541666666686069</c:v>
                </c:pt>
                <c:pt idx="2">
                  <c:v>2.1270833333328483</c:v>
                </c:pt>
                <c:pt idx="3">
                  <c:v>5.1270833333328483</c:v>
                </c:pt>
              </c:numCache>
            </c:numRef>
          </c:xVal>
          <c:yVal>
            <c:numRef>
              <c:f>'stats and calculations'!$S$11:$S$14</c:f>
              <c:numCache>
                <c:formatCode>General</c:formatCode>
                <c:ptCount val="4"/>
                <c:pt idx="2">
                  <c:v>0.13798388266666703</c:v>
                </c:pt>
                <c:pt idx="3">
                  <c:v>9.6023720000000146E-2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Si</c:v>
                </c15:tx>
              </c15:filteredSeriesTitle>
            </c:ext>
            <c:ext xmlns:c16="http://schemas.microsoft.com/office/drawing/2014/chart" uri="{C3380CC4-5D6E-409C-BE32-E72D297353CC}">
              <c16:uniqueId val="{00000007-B0C4-4B28-8C0A-852BA2E5545C}"/>
            </c:ext>
          </c:extLst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15875">
                <a:prstDash val="lgDash"/>
              </a:ln>
            </c:spPr>
            <c:trendlineType val="linear"/>
            <c:dispRSqr val="1"/>
            <c:dispEq val="1"/>
            <c:trendlineLbl>
              <c:layout>
                <c:manualLayout>
                  <c:x val="0.27383400385530399"/>
                  <c:y val="-8.5156214546904974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+Fe+Si; y = -0.0407x + 0.1912
R² = 0.4103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and calculations'!$V$13:$V$14</c:f>
                <c:numCache>
                  <c:formatCode>General</c:formatCode>
                  <c:ptCount val="2"/>
                  <c:pt idx="0">
                    <c:v>1.4137471787424792E-2</c:v>
                  </c:pt>
                  <c:pt idx="1">
                    <c:v>8.6028761214183527E-2</c:v>
                  </c:pt>
                </c:numCache>
              </c:numRef>
            </c:plus>
            <c:minus>
              <c:numRef>
                <c:f>'stats and calculations'!$V$13:$V$14</c:f>
                <c:numCache>
                  <c:formatCode>General</c:formatCode>
                  <c:ptCount val="2"/>
                  <c:pt idx="0">
                    <c:v>1.4137471787424792E-2</c:v>
                  </c:pt>
                  <c:pt idx="1">
                    <c:v>8.6028761214183527E-2</c:v>
                  </c:pt>
                </c:numCache>
              </c:numRef>
            </c:minus>
          </c:errBars>
          <c:xVal>
            <c:numRef>
              <c:f>'stats and calculations'!$AD$11:$AD$14</c:f>
              <c:numCache>
                <c:formatCode>[h]:mm:ss;@</c:formatCode>
                <c:ptCount val="4"/>
                <c:pt idx="0">
                  <c:v>0</c:v>
                </c:pt>
                <c:pt idx="1">
                  <c:v>1.0541666666686069</c:v>
                </c:pt>
                <c:pt idx="2">
                  <c:v>2.1444444444423425</c:v>
                </c:pt>
                <c:pt idx="3">
                  <c:v>5.1444444444423425</c:v>
                </c:pt>
              </c:numCache>
            </c:numRef>
          </c:xVal>
          <c:yVal>
            <c:numRef>
              <c:f>'stats and calculations'!$U$11:$U$14</c:f>
              <c:numCache>
                <c:formatCode>General</c:formatCode>
                <c:ptCount val="4"/>
                <c:pt idx="2">
                  <c:v>0.12461053866666688</c:v>
                </c:pt>
                <c:pt idx="3">
                  <c:v>0.14099029333333346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Fe + Si</c:v>
                </c15:tx>
              </c15:filteredSeriesTitle>
            </c:ext>
            <c:ext xmlns:c16="http://schemas.microsoft.com/office/drawing/2014/chart" uri="{C3380CC4-5D6E-409C-BE32-E72D297353CC}">
              <c16:uniqueId val="{00000009-B0C4-4B28-8C0A-852BA2E5545C}"/>
            </c:ext>
          </c:extLst>
        </c:ser>
        <c:ser>
          <c:idx val="5"/>
          <c:order val="5"/>
          <c:spPr>
            <a:ln w="25400" cap="rnd">
              <a:noFill/>
              <a:round/>
            </a:ln>
            <a:effectLst/>
          </c:spPr>
          <c:marker>
            <c:symbol val="diamond"/>
            <c:size val="16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15875">
                <a:solidFill>
                  <a:schemeClr val="bg2">
                    <a:lumMod val="50000"/>
                  </a:schemeClr>
                </a:solidFill>
                <a:prstDash val="lgDashDotDot"/>
              </a:ln>
            </c:spPr>
            <c:trendlineType val="linear"/>
            <c:dispRSqr val="1"/>
            <c:dispEq val="1"/>
            <c:trendlineLbl>
              <c:layout>
                <c:manualLayout>
                  <c:x val="0.27458073944264305"/>
                  <c:y val="-0.20494068361329584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+Fe; y = -0.0387x + 0.2173
R² = 0.4097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and calculations'!$X$13:$X$14</c:f>
                <c:numCache>
                  <c:formatCode>General</c:formatCode>
                  <c:ptCount val="2"/>
                  <c:pt idx="0">
                    <c:v>1.6493689935247957E-3</c:v>
                  </c:pt>
                  <c:pt idx="1">
                    <c:v>1.5504068539130011E-2</c:v>
                  </c:pt>
                </c:numCache>
              </c:numRef>
            </c:plus>
            <c:minus>
              <c:numRef>
                <c:f>'stats and calculations'!$X$13:$X$14</c:f>
                <c:numCache>
                  <c:formatCode>General</c:formatCode>
                  <c:ptCount val="2"/>
                  <c:pt idx="0">
                    <c:v>1.6493689935247957E-3</c:v>
                  </c:pt>
                  <c:pt idx="1">
                    <c:v>1.5504068539130011E-2</c:v>
                  </c:pt>
                </c:numCache>
              </c:numRef>
            </c:minus>
          </c:errBars>
          <c:xVal>
            <c:numRef>
              <c:f>'stats and calculations'!$AE$11:$AE$14</c:f>
              <c:numCache>
                <c:formatCode>[h]:mm:ss;@</c:formatCode>
                <c:ptCount val="4"/>
                <c:pt idx="0">
                  <c:v>0</c:v>
                </c:pt>
                <c:pt idx="1">
                  <c:v>1.0541666666686069</c:v>
                </c:pt>
                <c:pt idx="2">
                  <c:v>2.1652777777781012</c:v>
                </c:pt>
                <c:pt idx="3">
                  <c:v>5.1652777777781012</c:v>
                </c:pt>
              </c:numCache>
            </c:numRef>
          </c:xVal>
          <c:yVal>
            <c:numRef>
              <c:f>'stats and calculations'!$W$11:$W$14</c:f>
              <c:numCache>
                <c:formatCode>General</c:formatCode>
                <c:ptCount val="4"/>
                <c:pt idx="1">
                  <c:v>9.3535656000000245E-2</c:v>
                </c:pt>
                <c:pt idx="2">
                  <c:v>0.13241165600000027</c:v>
                </c:pt>
                <c:pt idx="3">
                  <c:v>7.3320136000000216E-2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Fe</c:v>
                </c15:tx>
              </c15:filteredSeriesTitle>
            </c:ext>
            <c:ext xmlns:c16="http://schemas.microsoft.com/office/drawing/2014/chart" uri="{C3380CC4-5D6E-409C-BE32-E72D297353CC}">
              <c16:uniqueId val="{0000000B-B0C4-4B28-8C0A-852BA2E55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584384"/>
        <c:axId val="133586304"/>
      </c:scatterChart>
      <c:valAx>
        <c:axId val="133584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>
                    <a:solidFill>
                      <a:sysClr val="windowText" lastClr="000000"/>
                    </a:solidFill>
                  </a:rPr>
                  <a:t>Time (hours)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[h]:mm:ss;@" sourceLinked="1"/>
        <c:majorTickMark val="in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586304"/>
        <c:crosses val="autoZero"/>
        <c:crossBetween val="midCat"/>
      </c:valAx>
      <c:valAx>
        <c:axId val="1335863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800">
                    <a:solidFill>
                      <a:sysClr val="windowText" lastClr="000000"/>
                    </a:solidFill>
                  </a:rPr>
                  <a:t>mean Phaeo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in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58438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2886043090767492"/>
          <c:y val="0.42182796939138967"/>
          <c:w val="0.16479084121389162"/>
          <c:h val="0.496374733265736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>
                <a:solidFill>
                  <a:sysClr val="windowText" lastClr="000000"/>
                </a:solidFill>
              </a:rPr>
              <a:t>Mean Phaeo</a:t>
            </a:r>
            <a:r>
              <a:rPr lang="en-US" sz="2400" baseline="0">
                <a:solidFill>
                  <a:sysClr val="windowText" lastClr="000000"/>
                </a:solidFill>
              </a:rPr>
              <a:t>/C</a:t>
            </a:r>
            <a:r>
              <a:rPr lang="en-US" sz="2400">
                <a:solidFill>
                  <a:sysClr val="windowText" lastClr="000000"/>
                </a:solidFill>
              </a:rPr>
              <a:t>hl</a:t>
            </a:r>
            <a:r>
              <a:rPr lang="en-US" sz="2400" baseline="0">
                <a:solidFill>
                  <a:sysClr val="windowText" lastClr="000000"/>
                </a:solidFill>
              </a:rPr>
              <a:t> </a:t>
            </a:r>
            <a:r>
              <a:rPr lang="en-US" sz="2400" i="1" baseline="0">
                <a:solidFill>
                  <a:sysClr val="windowText" lastClr="000000"/>
                </a:solidFill>
              </a:rPr>
              <a:t>a</a:t>
            </a:r>
            <a:r>
              <a:rPr lang="en-US" sz="2400" baseline="0">
                <a:solidFill>
                  <a:sysClr val="windowText" lastClr="000000"/>
                </a:solidFill>
              </a:rPr>
              <a:t> vs. Time</a:t>
            </a:r>
            <a:endParaRPr lang="en-US" sz="2400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4354814045679443"/>
          <c:y val="8.4330288246832905E-2"/>
          <c:w val="0.70704612706554282"/>
          <c:h val="0.7744915294679074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triangle"/>
            <c:size val="10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>
                <a:solidFill>
                  <a:schemeClr val="bg1">
                    <a:lumMod val="50000"/>
                  </a:schemeClr>
                </a:solidFill>
                <a:prstDash val="dashDot"/>
              </a:ln>
            </c:spPr>
            <c:trendlineType val="linear"/>
            <c:dispRSqr val="1"/>
            <c:dispEq val="1"/>
            <c:trendlineLbl>
              <c:layout>
                <c:manualLayout>
                  <c:x val="0.10779002624671916"/>
                  <c:y val="-0.36171156185826281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Control; y = -0.0253x + 0.2136
R² = 0.5133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and calculations'!$N$20:$N$23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6.9664855197221201E-3</c:v>
                  </c:pt>
                  <c:pt idx="3">
                    <c:v>3.0415776291602616E-2</c:v>
                  </c:pt>
                </c:numCache>
              </c:numRef>
            </c:plus>
            <c:minus>
              <c:numRef>
                <c:f>'stats and calculations'!$N$20:$N$23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6.9664855197221201E-3</c:v>
                  </c:pt>
                  <c:pt idx="3">
                    <c:v>3.0415776291602616E-2</c:v>
                  </c:pt>
                </c:numCache>
              </c:numRef>
            </c:minus>
          </c:errBars>
          <c:xVal>
            <c:numRef>
              <c:f>'stats and calculations'!$Z$20:$Z$23</c:f>
              <c:numCache>
                <c:formatCode>[h]:mm:ss;@</c:formatCode>
                <c:ptCount val="4"/>
                <c:pt idx="0">
                  <c:v>0</c:v>
                </c:pt>
                <c:pt idx="1">
                  <c:v>1.0541666666686069</c:v>
                </c:pt>
                <c:pt idx="2">
                  <c:v>2.0645833333328483</c:v>
                </c:pt>
                <c:pt idx="3">
                  <c:v>5.0645833333328483</c:v>
                </c:pt>
              </c:numCache>
            </c:numRef>
          </c:xVal>
          <c:yVal>
            <c:numRef>
              <c:f>'stats and calculations'!$M$20:$M$23</c:f>
              <c:numCache>
                <c:formatCode>General</c:formatCode>
                <c:ptCount val="4"/>
                <c:pt idx="0">
                  <c:v>0.14903296286811796</c:v>
                </c:pt>
                <c:pt idx="1">
                  <c:v>0.13402963809523846</c:v>
                </c:pt>
                <c:pt idx="2">
                  <c:v>0.11588143512880564</c:v>
                </c:pt>
                <c:pt idx="3">
                  <c:v>0.12828100755667513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control</c:v>
                </c15:tx>
              </c15:filteredSeriesTitle>
            </c:ext>
            <c:ext xmlns:c16="http://schemas.microsoft.com/office/drawing/2014/chart" uri="{C3380CC4-5D6E-409C-BE32-E72D297353CC}">
              <c16:uniqueId val="{00000001-45AF-4D10-BDF7-F510A1E04D47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diamond"/>
            <c:size val="12"/>
            <c:spPr>
              <a:solidFill>
                <a:schemeClr val="tx1"/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1276282772345765"/>
                  <c:y val="-0.366634956131111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5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+SAMW; y = -0.0709x + 0.2276
R² = 0.7888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and calculations'!$P$20:$P$23</c:f>
                <c:numCache>
                  <c:formatCode>General</c:formatCode>
                  <c:ptCount val="4"/>
                  <c:pt idx="0">
                    <c:v>1.8905552532861268E-2</c:v>
                  </c:pt>
                  <c:pt idx="1">
                    <c:v>0</c:v>
                  </c:pt>
                  <c:pt idx="2">
                    <c:v>1.6936957836119673E-2</c:v>
                  </c:pt>
                  <c:pt idx="3">
                    <c:v>2.7571124572051107E-2</c:v>
                  </c:pt>
                </c:numCache>
              </c:numRef>
            </c:plus>
            <c:minus>
              <c:numRef>
                <c:f>'stats and calculations'!$P$20:$P$23</c:f>
                <c:numCache>
                  <c:formatCode>General</c:formatCode>
                  <c:ptCount val="4"/>
                  <c:pt idx="0">
                    <c:v>1.8905552532861268E-2</c:v>
                  </c:pt>
                  <c:pt idx="1">
                    <c:v>0</c:v>
                  </c:pt>
                  <c:pt idx="2">
                    <c:v>1.6936957836119673E-2</c:v>
                  </c:pt>
                  <c:pt idx="3">
                    <c:v>2.7571124572051107E-2</c:v>
                  </c:pt>
                </c:numCache>
              </c:numRef>
            </c:minus>
          </c:errBars>
          <c:xVal>
            <c:numRef>
              <c:f>'stats and calculations'!$AA$20:$AA$23</c:f>
              <c:numCache>
                <c:formatCode>[h]:mm:ss;@</c:formatCode>
                <c:ptCount val="4"/>
                <c:pt idx="0">
                  <c:v>9.3055555553291924E-2</c:v>
                </c:pt>
                <c:pt idx="1">
                  <c:v>1.0541666666686069</c:v>
                </c:pt>
                <c:pt idx="2">
                  <c:v>2.1062499999970896</c:v>
                </c:pt>
                <c:pt idx="3">
                  <c:v>5.1062499999970896</c:v>
                </c:pt>
              </c:numCache>
            </c:numRef>
          </c:xVal>
          <c:yVal>
            <c:numRef>
              <c:f>'stats and calculations'!$O$20:$O$23</c:f>
              <c:numCache>
                <c:formatCode>General</c:formatCode>
                <c:ptCount val="4"/>
                <c:pt idx="0">
                  <c:v>0.17923984924623115</c:v>
                </c:pt>
                <c:pt idx="1">
                  <c:v>0.10614987018701898</c:v>
                </c:pt>
                <c:pt idx="2">
                  <c:v>0.11596408349146091</c:v>
                </c:pt>
                <c:pt idx="3">
                  <c:v>0.1145406979865773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SAMW</c:v>
                </c15:tx>
              </c15:filteredSeriesTitle>
            </c:ext>
            <c:ext xmlns:c16="http://schemas.microsoft.com/office/drawing/2014/chart" uri="{C3380CC4-5D6E-409C-BE32-E72D297353CC}">
              <c16:uniqueId val="{00000003-45AF-4D10-BDF7-F510A1E04D47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chemeClr val="tx1"/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19050">
                <a:prstDash val="sysDot"/>
              </a:ln>
            </c:spPr>
            <c:trendlineType val="linear"/>
            <c:dispRSqr val="1"/>
            <c:dispEq val="1"/>
            <c:trendlineLbl>
              <c:layout>
                <c:manualLayout>
                  <c:x val="0.10202370857488968"/>
                  <c:y val="-0.24973778437407756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NO3; y = 0.0225x + 0.0081</a:t>
                    </a:r>
                    <a:br>
                      <a:rPr lang="en-US" baseline="0"/>
                    </a:br>
                    <a:r>
                      <a:rPr lang="en-US" baseline="0"/>
                      <a:t>R² = 0.6161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and calculations'!$R$20:$R$23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1.145691177823382E-2</c:v>
                  </c:pt>
                  <c:pt idx="3">
                    <c:v>1.717952325878663E-2</c:v>
                  </c:pt>
                </c:numCache>
              </c:numRef>
            </c:plus>
            <c:minus>
              <c:numRef>
                <c:f>'stats and calculations'!$R$20:$R$23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1.145691177823382E-2</c:v>
                  </c:pt>
                  <c:pt idx="3">
                    <c:v>1.717952325878663E-2</c:v>
                  </c:pt>
                </c:numCache>
              </c:numRef>
            </c:minus>
          </c:errBars>
          <c:xVal>
            <c:numRef>
              <c:f>'stats and calculations'!$AB$20:$AB$23</c:f>
              <c:numCache>
                <c:formatCode>[h]:mm:ss;@</c:formatCode>
                <c:ptCount val="4"/>
                <c:pt idx="0">
                  <c:v>0</c:v>
                </c:pt>
                <c:pt idx="1">
                  <c:v>1.0541666666686069</c:v>
                </c:pt>
                <c:pt idx="2">
                  <c:v>2.0854166666686069</c:v>
                </c:pt>
                <c:pt idx="3">
                  <c:v>5.0854166666686069</c:v>
                </c:pt>
              </c:numCache>
            </c:numRef>
          </c:xVal>
          <c:yVal>
            <c:numRef>
              <c:f>'stats and calculations'!$Q$20:$Q$23</c:f>
              <c:numCache>
                <c:formatCode>General</c:formatCode>
                <c:ptCount val="4"/>
                <c:pt idx="2">
                  <c:v>0.11154820266666683</c:v>
                </c:pt>
                <c:pt idx="3">
                  <c:v>0.105977936134454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NO3</c:v>
                </c15:tx>
              </c15:filteredSeriesTitle>
            </c:ext>
            <c:ext xmlns:c16="http://schemas.microsoft.com/office/drawing/2014/chart" uri="{C3380CC4-5D6E-409C-BE32-E72D297353CC}">
              <c16:uniqueId val="{00000005-45AF-4D10-BDF7-F510A1E04D47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square"/>
            <c:size val="12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'stats and calculations'!$T$20:$T$23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1.5265613552584654E-2</c:v>
                  </c:pt>
                  <c:pt idx="3">
                    <c:v>3.1873902042219215E-3</c:v>
                  </c:pt>
                </c:numCache>
              </c:numRef>
            </c:plus>
            <c:minus>
              <c:numRef>
                <c:f>'stats and calculations'!$T$20:$T$23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1.5265613552584654E-2</c:v>
                  </c:pt>
                  <c:pt idx="3">
                    <c:v>3.1873902042219215E-3</c:v>
                  </c:pt>
                </c:numCache>
              </c:numRef>
            </c:minus>
          </c:errBars>
          <c:xVal>
            <c:numRef>
              <c:f>'[2]stats and calculations'!$AC$20:$AC$23</c:f>
              <c:numCache>
                <c:formatCode>General</c:formatCode>
                <c:ptCount val="4"/>
                <c:pt idx="0">
                  <c:v>0</c:v>
                </c:pt>
                <c:pt idx="1">
                  <c:v>1.0541666666686069</c:v>
                </c:pt>
                <c:pt idx="2">
                  <c:v>2.1270833333328483</c:v>
                </c:pt>
                <c:pt idx="3">
                  <c:v>5.1270833333328483</c:v>
                </c:pt>
              </c:numCache>
            </c:numRef>
          </c:xVal>
          <c:yVal>
            <c:numRef>
              <c:f>'stats and calculations'!$S$20:$S$23</c:f>
              <c:numCache>
                <c:formatCode>General</c:formatCode>
                <c:ptCount val="4"/>
                <c:pt idx="2">
                  <c:v>9.5600842494226582E-2</c:v>
                </c:pt>
                <c:pt idx="3">
                  <c:v>6.3591867549668973E-2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Si</c:v>
                </c15:tx>
              </c15:filteredSeriesTitle>
            </c:ext>
            <c:ext xmlns:c16="http://schemas.microsoft.com/office/drawing/2014/chart" uri="{C3380CC4-5D6E-409C-BE32-E72D297353CC}">
              <c16:uniqueId val="{00000007-45AF-4D10-BDF7-F510A1E04D47}"/>
            </c:ext>
          </c:extLst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19050">
                <a:prstDash val="lgDashDotDot"/>
              </a:ln>
            </c:spPr>
            <c:trendlineType val="linear"/>
            <c:dispRSqr val="1"/>
            <c:dispEq val="1"/>
            <c:trendlineLbl>
              <c:layout>
                <c:manualLayout>
                  <c:x val="9.2034957168815434E-2"/>
                  <c:y val="-0.2818049840192246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Si; y = 0.0168x + 0.007</a:t>
                    </a:r>
                    <a:br>
                      <a:rPr lang="en-US" baseline="0"/>
                    </a:br>
                    <a:r>
                      <a:rPr lang="en-US" baseline="0"/>
                      <a:t>R² = 0.5865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trendline>
            <c:spPr>
              <a:ln w="19050">
                <a:prstDash val="lgDash"/>
              </a:ln>
            </c:spPr>
            <c:trendlineType val="linear"/>
            <c:dispRSqr val="1"/>
            <c:dispEq val="1"/>
            <c:trendlineLbl>
              <c:layout>
                <c:manualLayout>
                  <c:x val="8.6174151308009581E-2"/>
                  <c:y val="-0.2232930088436807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Fe + Si; y = 0.0168x + 0.007</a:t>
                    </a:r>
                    <a:br>
                      <a:rPr lang="en-US" baseline="0"/>
                    </a:br>
                    <a:r>
                      <a:rPr lang="en-US" baseline="0"/>
                      <a:t>R² = 0.5865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and calculations'!$V$20:$V$23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1.0386698981016679E-2</c:v>
                  </c:pt>
                  <c:pt idx="3">
                    <c:v>4.8483890811827413E-2</c:v>
                  </c:pt>
                </c:numCache>
              </c:numRef>
            </c:plus>
            <c:minus>
              <c:numRef>
                <c:f>'stats and calculations'!$V$20:$V$23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1.0386698981016679E-2</c:v>
                  </c:pt>
                  <c:pt idx="3">
                    <c:v>4.8483890811827413E-2</c:v>
                  </c:pt>
                </c:numCache>
              </c:numRef>
            </c:minus>
          </c:errBars>
          <c:xVal>
            <c:numRef>
              <c:f>'[2]stats and calculations'!$AD$20:$AD$23</c:f>
              <c:numCache>
                <c:formatCode>General</c:formatCode>
                <c:ptCount val="4"/>
                <c:pt idx="0">
                  <c:v>0</c:v>
                </c:pt>
                <c:pt idx="1">
                  <c:v>1.0541666666686069</c:v>
                </c:pt>
                <c:pt idx="2">
                  <c:v>2.1444444444423425</c:v>
                </c:pt>
                <c:pt idx="3">
                  <c:v>5.1444444444423425</c:v>
                </c:pt>
              </c:numCache>
            </c:numRef>
          </c:xVal>
          <c:yVal>
            <c:numRef>
              <c:f>'stats and calculations'!$U$20:$U$23</c:f>
              <c:numCache>
                <c:formatCode>General</c:formatCode>
                <c:ptCount val="4"/>
                <c:pt idx="2">
                  <c:v>8.8585690995260799E-2</c:v>
                </c:pt>
                <c:pt idx="3">
                  <c:v>7.9356637898686758E-2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Fe + Si</c:v>
                </c15:tx>
              </c15:filteredSeriesTitle>
            </c:ext>
            <c:ext xmlns:c16="http://schemas.microsoft.com/office/drawing/2014/chart" uri="{C3380CC4-5D6E-409C-BE32-E72D297353CC}">
              <c16:uniqueId val="{00000009-45AF-4D10-BDF7-F510A1E04D47}"/>
            </c:ext>
          </c:extLst>
        </c:ser>
        <c:ser>
          <c:idx val="5"/>
          <c:order val="5"/>
          <c:spPr>
            <a:ln w="25400" cap="rnd">
              <a:noFill/>
              <a:round/>
            </a:ln>
            <a:effectLst/>
          </c:spPr>
          <c:marker>
            <c:symbol val="diamond"/>
            <c:size val="16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19050">
                <a:prstDash val="sysDash"/>
              </a:ln>
            </c:spPr>
            <c:trendlineType val="linear"/>
            <c:dispRSqr val="1"/>
            <c:dispEq val="1"/>
            <c:trendlineLbl>
              <c:layout>
                <c:manualLayout>
                  <c:x val="7.7858267716535437E-2"/>
                  <c:y val="-0.22608944595212471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Fe; y = 0.0114x + 0.014</a:t>
                    </a:r>
                    <a:br>
                      <a:rPr lang="en-US" baseline="0"/>
                    </a:br>
                    <a:r>
                      <a:rPr lang="en-US" baseline="0"/>
                      <a:t>R² = 0.2859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'[2]stats and calculations'!$X$20:$X$23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'[2]stats and calculations'!$X$20:$X$23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</c:errBars>
          <c:xVal>
            <c:numRef>
              <c:f>'stats and calculations'!$AE$20:$AE$23</c:f>
              <c:numCache>
                <c:formatCode>[h]:mm:ss;@</c:formatCode>
                <c:ptCount val="4"/>
                <c:pt idx="0">
                  <c:v>0</c:v>
                </c:pt>
                <c:pt idx="1">
                  <c:v>1.0541666666686069</c:v>
                </c:pt>
                <c:pt idx="2">
                  <c:v>2.1652777777781012</c:v>
                </c:pt>
                <c:pt idx="3">
                  <c:v>5.1652777777781012</c:v>
                </c:pt>
              </c:numCache>
            </c:numRef>
          </c:xVal>
          <c:yVal>
            <c:numRef>
              <c:f>'stats and calculations'!$W$20:$W$23</c:f>
              <c:numCache>
                <c:formatCode>General</c:formatCode>
                <c:ptCount val="4"/>
                <c:pt idx="2">
                  <c:v>9.8447327881041075E-2</c:v>
                </c:pt>
                <c:pt idx="3">
                  <c:v>5.3130533333333486E-2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Fe</c:v>
                </c15:tx>
              </c15:filteredSeriesTitle>
            </c:ext>
            <c:ext xmlns:c16="http://schemas.microsoft.com/office/drawing/2014/chart" uri="{C3380CC4-5D6E-409C-BE32-E72D297353CC}">
              <c16:uniqueId val="{0000000B-45AF-4D10-BDF7-F510A1E04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730112"/>
        <c:axId val="134732032"/>
      </c:scatterChart>
      <c:valAx>
        <c:axId val="134730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>
                    <a:solidFill>
                      <a:sysClr val="windowText" lastClr="000000"/>
                    </a:solidFill>
                  </a:rPr>
                  <a:t>Time (hours)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[h]:mm:ss;@" sourceLinked="1"/>
        <c:majorTickMark val="in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732032"/>
        <c:crosses val="autoZero"/>
        <c:crossBetween val="midCat"/>
      </c:valAx>
      <c:valAx>
        <c:axId val="1347320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800">
                    <a:solidFill>
                      <a:sysClr val="windowText" lastClr="000000"/>
                    </a:solidFill>
                  </a:rPr>
                  <a:t>mean</a:t>
                </a:r>
                <a:r>
                  <a:rPr lang="en-US" sz="2800" baseline="0">
                    <a:solidFill>
                      <a:sysClr val="windowText" lastClr="000000"/>
                    </a:solidFill>
                  </a:rPr>
                  <a:t> Pheo/C</a:t>
                </a:r>
                <a:r>
                  <a:rPr lang="en-US" sz="2800">
                    <a:solidFill>
                      <a:sysClr val="windowText" lastClr="000000"/>
                    </a:solidFill>
                  </a:rPr>
                  <a:t>hl</a:t>
                </a:r>
                <a:r>
                  <a:rPr lang="en-US" sz="2800" baseline="0">
                    <a:solidFill>
                      <a:sysClr val="windowText" lastClr="000000"/>
                    </a:solidFill>
                  </a:rPr>
                  <a:t> </a:t>
                </a:r>
                <a:r>
                  <a:rPr lang="en-US" sz="2800" i="1" baseline="0">
                    <a:solidFill>
                      <a:sysClr val="windowText" lastClr="000000"/>
                    </a:solidFill>
                  </a:rPr>
                  <a:t>a</a:t>
                </a:r>
                <a:endParaRPr lang="en-US" sz="2800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0"/>
        <c:majorTickMark val="in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73011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4896768046327276"/>
          <c:y val="8.6453992651157593E-2"/>
          <c:w val="0.14693359678486026"/>
          <c:h val="0.441604436479985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2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2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2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8175" cy="628952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7683" cy="628030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7683" cy="628030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SF%20$TN376_exp_1_all_time_points_chl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arboyTN376_exp_2_all_time_points_ch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"/>
      <sheetName val="Results"/>
      <sheetName val="simbios"/>
      <sheetName val="stn info"/>
      <sheetName val="stats &amp; calculations"/>
      <sheetName val="Mean chl vs time plot"/>
      <sheetName val="Mean pheo vs time plot"/>
      <sheetName val="Mean pheo over chl vs time"/>
    </sheetNames>
    <sheetDataSet>
      <sheetData sheetId="0" refreshError="1">
        <row r="3">
          <cell r="A3" t="str">
            <v>control 1</v>
          </cell>
        </row>
        <row r="5">
          <cell r="D5">
            <v>0</v>
          </cell>
        </row>
        <row r="8">
          <cell r="D8">
            <v>9.3055555553291924E-2</v>
          </cell>
        </row>
        <row r="11">
          <cell r="D11">
            <v>1.0541666666686069</v>
          </cell>
        </row>
        <row r="14">
          <cell r="D14">
            <v>1.0541666666686069</v>
          </cell>
        </row>
        <row r="17">
          <cell r="D17">
            <v>1.0541666666686069</v>
          </cell>
        </row>
        <row r="20">
          <cell r="D20">
            <v>1.0541666666686069</v>
          </cell>
        </row>
        <row r="23">
          <cell r="D23">
            <v>1.0541666666686069</v>
          </cell>
        </row>
        <row r="26">
          <cell r="D26">
            <v>1.0541666666686069</v>
          </cell>
        </row>
        <row r="29">
          <cell r="D29">
            <v>2.0645833333328483</v>
          </cell>
        </row>
        <row r="32">
          <cell r="D32">
            <v>2.0854166666686069</v>
          </cell>
        </row>
        <row r="35">
          <cell r="D35">
            <v>2.1062499999970896</v>
          </cell>
        </row>
        <row r="38">
          <cell r="D38">
            <v>2.1270833333328483</v>
          </cell>
        </row>
        <row r="41">
          <cell r="D41">
            <v>2.1444444444423425</v>
          </cell>
        </row>
        <row r="44">
          <cell r="D44">
            <v>2.1652777777781012</v>
          </cell>
        </row>
        <row r="47">
          <cell r="D47">
            <v>5.0645833333328483</v>
          </cell>
        </row>
        <row r="50">
          <cell r="D50">
            <v>5.0854166666686069</v>
          </cell>
        </row>
        <row r="53">
          <cell r="D53">
            <v>5.1062499999970896</v>
          </cell>
        </row>
        <row r="56">
          <cell r="D56">
            <v>5.1270833333328483</v>
          </cell>
        </row>
        <row r="59">
          <cell r="D59">
            <v>5.1444444444423425</v>
          </cell>
        </row>
        <row r="62">
          <cell r="D62">
            <v>5.1652777777781012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"/>
      <sheetName val="Results"/>
      <sheetName val="simbios"/>
      <sheetName val="stn info"/>
      <sheetName val="stats and calculations"/>
      <sheetName val="mean chl vs time"/>
      <sheetName val="mean phaeo vs time"/>
      <sheetName val="mean phaeo ovr chl vs time"/>
    </sheetNames>
    <sheetDataSet>
      <sheetData sheetId="0"/>
      <sheetData sheetId="1"/>
      <sheetData sheetId="2"/>
      <sheetData sheetId="3"/>
      <sheetData sheetId="4">
        <row r="20">
          <cell r="X20" t="str">
            <v>!=E22</v>
          </cell>
          <cell r="AC20">
            <v>0</v>
          </cell>
          <cell r="AD20">
            <v>0</v>
          </cell>
        </row>
        <row r="21">
          <cell r="X21" t="str">
            <v>!=J25</v>
          </cell>
          <cell r="AC21">
            <v>1.0541666666686069</v>
          </cell>
          <cell r="AD21">
            <v>1.0541666666686069</v>
          </cell>
        </row>
        <row r="22">
          <cell r="X22" t="str">
            <v>!=J43</v>
          </cell>
          <cell r="AC22">
            <v>2.1270833333328483</v>
          </cell>
          <cell r="AD22">
            <v>2.1444444444423425</v>
          </cell>
        </row>
        <row r="23">
          <cell r="X23" t="e">
            <v>#DIV/0!</v>
          </cell>
          <cell r="AC23">
            <v>5.1270833333328483</v>
          </cell>
          <cell r="AD23">
            <v>5.1444444444423425</v>
          </cell>
        </row>
      </sheetData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62"/>
  <sheetViews>
    <sheetView tabSelected="1" workbookViewId="0">
      <selection activeCell="I3" sqref="I3"/>
    </sheetView>
  </sheetViews>
  <sheetFormatPr defaultRowHeight="12.5"/>
  <cols>
    <col min="2" max="2" width="7.26953125" bestFit="1" customWidth="1"/>
    <col min="3" max="3" width="12" bestFit="1" customWidth="1"/>
    <col min="4" max="4" width="13" style="30" bestFit="1" customWidth="1"/>
    <col min="5" max="6" width="8.7265625" style="22" customWidth="1"/>
    <col min="7" max="7" width="9.453125" style="22" customWidth="1"/>
    <col min="8" max="8" width="9.26953125" style="22" customWidth="1"/>
    <col min="9" max="9" width="5.7265625" customWidth="1"/>
    <col min="10" max="11" width="7.26953125" customWidth="1"/>
    <col min="12" max="13" width="8.54296875" bestFit="1" customWidth="1"/>
  </cols>
  <sheetData>
    <row r="1" spans="1:12">
      <c r="B1" t="s">
        <v>51</v>
      </c>
      <c r="C1" t="s">
        <v>53</v>
      </c>
      <c r="G1" s="28" t="s">
        <v>52</v>
      </c>
      <c r="H1" s="28"/>
      <c r="I1" s="29"/>
    </row>
    <row r="2" spans="1:12" s="20" customFormat="1" ht="34.5" customHeight="1">
      <c r="A2" s="20" t="s">
        <v>73</v>
      </c>
      <c r="B2" s="21" t="s">
        <v>22</v>
      </c>
      <c r="C2" s="21" t="s">
        <v>23</v>
      </c>
      <c r="D2" s="31" t="s">
        <v>72</v>
      </c>
      <c r="E2" s="2" t="s">
        <v>20</v>
      </c>
      <c r="F2" s="2" t="s">
        <v>21</v>
      </c>
      <c r="G2" s="2" t="s">
        <v>47</v>
      </c>
      <c r="H2" s="2" t="s">
        <v>48</v>
      </c>
      <c r="I2" s="2" t="s">
        <v>49</v>
      </c>
      <c r="J2" s="26" t="s">
        <v>46</v>
      </c>
      <c r="L2" s="20" t="s">
        <v>45</v>
      </c>
    </row>
    <row r="3" spans="1:12">
      <c r="A3" t="s">
        <v>54</v>
      </c>
      <c r="B3" s="17">
        <v>406</v>
      </c>
      <c r="C3" s="38">
        <v>42416.168055555558</v>
      </c>
      <c r="D3" s="39">
        <v>0</v>
      </c>
      <c r="E3" s="52">
        <v>7.61</v>
      </c>
      <c r="F3" s="52">
        <v>4.37</v>
      </c>
      <c r="G3" s="46" t="s">
        <v>78</v>
      </c>
      <c r="H3">
        <f>E3-IF(G3="h",$L$3,IF(G3="m",$L$4,IF(G3="l",$L$5,-99)))</f>
        <v>7.8100000000000005</v>
      </c>
      <c r="I3">
        <f>F3-IF(G3="h",$L$3,IF(G3="m",$L$4,IF(G3="l",$L$5,-99)))</f>
        <v>4.57</v>
      </c>
      <c r="J3" s="17">
        <v>1.9438</v>
      </c>
      <c r="L3" s="47">
        <v>0</v>
      </c>
    </row>
    <row r="4" spans="1:12">
      <c r="A4" t="s">
        <v>55</v>
      </c>
      <c r="B4" s="16">
        <f>B3+1</f>
        <v>407</v>
      </c>
      <c r="C4" s="38">
        <v>42416.168055555558</v>
      </c>
      <c r="D4" s="39">
        <v>0</v>
      </c>
      <c r="E4" s="52">
        <v>4.78</v>
      </c>
      <c r="F4" s="52">
        <v>4.6500000000000004</v>
      </c>
      <c r="G4" s="52" t="s">
        <v>78</v>
      </c>
      <c r="H4" s="49" t="s">
        <v>109</v>
      </c>
      <c r="I4" s="49" t="s">
        <v>110</v>
      </c>
      <c r="L4" s="47">
        <v>-0.2</v>
      </c>
    </row>
    <row r="5" spans="1:12">
      <c r="A5" t="s">
        <v>56</v>
      </c>
      <c r="B5" s="16">
        <f t="shared" ref="B5:B62" si="0">B4+1</f>
        <v>408</v>
      </c>
      <c r="C5" s="38">
        <v>42416.168055555558</v>
      </c>
      <c r="D5" s="39">
        <v>0</v>
      </c>
      <c r="E5" s="52">
        <v>3.64</v>
      </c>
      <c r="F5" s="52">
        <v>3.67</v>
      </c>
      <c r="G5" s="52" t="s">
        <v>78</v>
      </c>
      <c r="H5" s="49" t="s">
        <v>111</v>
      </c>
      <c r="I5" s="49" t="s">
        <v>112</v>
      </c>
      <c r="L5" s="47">
        <v>-1.9</v>
      </c>
    </row>
    <row r="6" spans="1:12">
      <c r="A6" t="s">
        <v>75</v>
      </c>
      <c r="B6" s="16">
        <f t="shared" si="0"/>
        <v>409</v>
      </c>
      <c r="C6" s="38">
        <v>42416.178472222222</v>
      </c>
      <c r="D6" s="39">
        <f>C6-$C$5</f>
        <v>1.0416666664241347E-2</v>
      </c>
      <c r="E6" s="52">
        <v>4.42</v>
      </c>
      <c r="F6" s="52">
        <v>4.3499999999999996</v>
      </c>
      <c r="G6" s="52" t="s">
        <v>78</v>
      </c>
      <c r="H6" s="49" t="s">
        <v>113</v>
      </c>
      <c r="I6" s="49" t="s">
        <v>114</v>
      </c>
      <c r="L6" s="45"/>
    </row>
    <row r="7" spans="1:12">
      <c r="A7" t="s">
        <v>76</v>
      </c>
      <c r="B7" s="16">
        <f t="shared" si="0"/>
        <v>410</v>
      </c>
      <c r="C7" s="38">
        <v>42416.178472222222</v>
      </c>
      <c r="D7" s="39">
        <f>C7-$C$5</f>
        <v>1.0416666664241347E-2</v>
      </c>
      <c r="E7" s="52">
        <v>7.9</v>
      </c>
      <c r="F7" s="52">
        <v>4.63</v>
      </c>
      <c r="G7" s="52" t="s">
        <v>78</v>
      </c>
      <c r="H7" s="49">
        <f t="shared" ref="H7:H26" si="1">E7-IF(G7="h",$L$3,IF(G7="m",$L$4,IF(G7="l",$L$5,-99)))</f>
        <v>8.1</v>
      </c>
      <c r="I7" s="49">
        <f t="shared" ref="I7:I26" si="2">F7-IF(G7="h",$L$3,IF(G7="m",$L$4,IF(G7="l",$L$5,-99)))</f>
        <v>4.83</v>
      </c>
      <c r="L7" s="45">
        <v>0</v>
      </c>
    </row>
    <row r="8" spans="1:12">
      <c r="A8" t="s">
        <v>77</v>
      </c>
      <c r="B8" s="16">
        <f t="shared" si="0"/>
        <v>411</v>
      </c>
      <c r="C8" s="38">
        <v>42416.178472222222</v>
      </c>
      <c r="D8" s="39">
        <f t="shared" ref="D8:D62" si="3">C8-$C$5</f>
        <v>1.0416666664241347E-2</v>
      </c>
      <c r="E8" s="52">
        <v>7.62</v>
      </c>
      <c r="F8" s="52">
        <v>4.42</v>
      </c>
      <c r="G8" s="52" t="s">
        <v>78</v>
      </c>
      <c r="H8" s="49">
        <f t="shared" si="1"/>
        <v>7.82</v>
      </c>
      <c r="I8" s="49">
        <f t="shared" si="2"/>
        <v>4.62</v>
      </c>
      <c r="L8" s="45">
        <v>-0.2</v>
      </c>
    </row>
    <row r="9" spans="1:12">
      <c r="A9" t="s">
        <v>54</v>
      </c>
      <c r="B9" s="16">
        <v>437</v>
      </c>
      <c r="C9" s="38">
        <v>42417.270138888889</v>
      </c>
      <c r="D9" s="39">
        <f t="shared" si="3"/>
        <v>1.1020833333313931</v>
      </c>
      <c r="E9" s="19">
        <v>10.3</v>
      </c>
      <c r="F9" s="19">
        <v>5.9</v>
      </c>
      <c r="G9" s="19" t="s">
        <v>78</v>
      </c>
      <c r="H9" s="49">
        <f t="shared" si="1"/>
        <v>10.5</v>
      </c>
      <c r="I9" s="49">
        <f t="shared" si="2"/>
        <v>6.1000000000000005</v>
      </c>
      <c r="L9" s="47">
        <v>-1.9</v>
      </c>
    </row>
    <row r="10" spans="1:12">
      <c r="A10" t="s">
        <v>55</v>
      </c>
      <c r="B10" s="16">
        <f t="shared" si="0"/>
        <v>438</v>
      </c>
      <c r="C10" s="38">
        <v>42417.270138888889</v>
      </c>
      <c r="D10" s="39">
        <f t="shared" si="3"/>
        <v>1.1020833333313931</v>
      </c>
      <c r="E10" s="19">
        <v>4.8600000000000003</v>
      </c>
      <c r="F10" s="19">
        <v>4.88</v>
      </c>
      <c r="G10" s="19" t="s">
        <v>78</v>
      </c>
      <c r="H10" s="49" t="s">
        <v>115</v>
      </c>
      <c r="I10" s="49" t="s">
        <v>116</v>
      </c>
      <c r="L10" s="47"/>
    </row>
    <row r="11" spans="1:12">
      <c r="A11" t="s">
        <v>56</v>
      </c>
      <c r="B11" s="16">
        <f t="shared" si="0"/>
        <v>439</v>
      </c>
      <c r="C11" s="38">
        <v>42417.270138888889</v>
      </c>
      <c r="D11" s="39">
        <f t="shared" si="3"/>
        <v>1.1020833333313931</v>
      </c>
      <c r="E11" s="19">
        <v>5</v>
      </c>
      <c r="F11" s="19">
        <v>4.96</v>
      </c>
      <c r="G11" s="19" t="s">
        <v>78</v>
      </c>
      <c r="H11" s="49" t="s">
        <v>117</v>
      </c>
      <c r="I11" s="49" t="s">
        <v>118</v>
      </c>
      <c r="L11" s="47">
        <v>0</v>
      </c>
    </row>
    <row r="12" spans="1:12">
      <c r="A12" t="s">
        <v>57</v>
      </c>
      <c r="B12" s="16">
        <f t="shared" si="0"/>
        <v>440</v>
      </c>
      <c r="C12" s="38">
        <v>42417.28125</v>
      </c>
      <c r="D12" s="39">
        <f t="shared" si="3"/>
        <v>1.1131944444423425</v>
      </c>
      <c r="E12" s="19">
        <v>4.83</v>
      </c>
      <c r="F12" s="19">
        <v>4.8099999999999996</v>
      </c>
      <c r="G12" s="19" t="s">
        <v>78</v>
      </c>
      <c r="H12" s="49" t="s">
        <v>119</v>
      </c>
      <c r="I12" s="49" t="s">
        <v>120</v>
      </c>
      <c r="L12" s="47">
        <v>-0.1</v>
      </c>
    </row>
    <row r="13" spans="1:12">
      <c r="A13" t="s">
        <v>58</v>
      </c>
      <c r="B13" s="16">
        <f t="shared" si="0"/>
        <v>441</v>
      </c>
      <c r="C13" s="38">
        <v>42417.28125</v>
      </c>
      <c r="D13" s="39">
        <f t="shared" si="3"/>
        <v>1.1131944444423425</v>
      </c>
      <c r="E13" s="19">
        <v>4.9000000000000004</v>
      </c>
      <c r="F13" s="19">
        <v>4.78</v>
      </c>
      <c r="G13" s="19" t="s">
        <v>78</v>
      </c>
      <c r="H13" s="49" t="s">
        <v>121</v>
      </c>
      <c r="I13" s="49" t="s">
        <v>122</v>
      </c>
      <c r="L13" s="47">
        <v>-1.9</v>
      </c>
    </row>
    <row r="14" spans="1:12">
      <c r="A14" t="s">
        <v>59</v>
      </c>
      <c r="B14" s="16">
        <f t="shared" si="0"/>
        <v>442</v>
      </c>
      <c r="C14" s="38">
        <v>42417.28125</v>
      </c>
      <c r="D14" s="39">
        <f t="shared" si="3"/>
        <v>1.1131944444423425</v>
      </c>
      <c r="E14" s="19">
        <v>4.92</v>
      </c>
      <c r="F14" s="19">
        <v>4.8899999999999997</v>
      </c>
      <c r="G14" s="19" t="s">
        <v>78</v>
      </c>
      <c r="H14" s="49" t="s">
        <v>123</v>
      </c>
      <c r="I14" s="49" t="s">
        <v>124</v>
      </c>
      <c r="L14" s="47"/>
    </row>
    <row r="15" spans="1:12">
      <c r="A15" t="s">
        <v>60</v>
      </c>
      <c r="B15" s="16">
        <f t="shared" si="0"/>
        <v>443</v>
      </c>
      <c r="C15" s="38">
        <v>42417.292361111111</v>
      </c>
      <c r="D15" s="39">
        <f t="shared" si="3"/>
        <v>1.1243055555532919</v>
      </c>
      <c r="E15" s="19">
        <v>8.89</v>
      </c>
      <c r="F15" s="19">
        <v>5.01</v>
      </c>
      <c r="G15" s="19" t="s">
        <v>78</v>
      </c>
      <c r="H15" s="49">
        <f t="shared" si="1"/>
        <v>9.09</v>
      </c>
      <c r="I15" s="49">
        <f t="shared" si="2"/>
        <v>5.21</v>
      </c>
      <c r="L15" s="47">
        <v>0</v>
      </c>
    </row>
    <row r="16" spans="1:12">
      <c r="A16" t="s">
        <v>61</v>
      </c>
      <c r="B16" s="16">
        <f t="shared" si="0"/>
        <v>444</v>
      </c>
      <c r="C16" s="38">
        <v>42417.292361111111</v>
      </c>
      <c r="D16" s="39">
        <f t="shared" si="3"/>
        <v>1.1243055555532919</v>
      </c>
      <c r="E16" s="19">
        <v>1.22</v>
      </c>
      <c r="F16" s="19">
        <v>1.22</v>
      </c>
      <c r="G16" s="19" t="s">
        <v>79</v>
      </c>
      <c r="H16" s="49" t="s">
        <v>125</v>
      </c>
      <c r="I16" s="49" t="s">
        <v>126</v>
      </c>
      <c r="L16" s="47">
        <v>0</v>
      </c>
    </row>
    <row r="17" spans="1:12">
      <c r="A17" t="s">
        <v>62</v>
      </c>
      <c r="B17" s="16">
        <f t="shared" si="0"/>
        <v>445</v>
      </c>
      <c r="C17" s="38">
        <v>42417.292361111111</v>
      </c>
      <c r="D17" s="39">
        <f t="shared" si="3"/>
        <v>1.1243055555532919</v>
      </c>
      <c r="E17" s="19">
        <v>4.29</v>
      </c>
      <c r="F17" s="19">
        <v>4.1500000000000004</v>
      </c>
      <c r="G17" s="19" t="s">
        <v>78</v>
      </c>
      <c r="H17" s="49" t="s">
        <v>127</v>
      </c>
      <c r="I17" s="49" t="s">
        <v>128</v>
      </c>
      <c r="L17" s="47">
        <v>-1.9</v>
      </c>
    </row>
    <row r="18" spans="1:12">
      <c r="A18" t="s">
        <v>63</v>
      </c>
      <c r="B18" s="16">
        <f t="shared" si="0"/>
        <v>446</v>
      </c>
      <c r="C18" s="38">
        <v>42417.300694444442</v>
      </c>
      <c r="D18" s="39">
        <f t="shared" si="3"/>
        <v>1.132638888884685</v>
      </c>
      <c r="E18" s="19">
        <v>4.54</v>
      </c>
      <c r="F18" s="19">
        <v>4.8499999999999996</v>
      </c>
      <c r="G18" s="19" t="s">
        <v>78</v>
      </c>
      <c r="H18" s="49" t="s">
        <v>129</v>
      </c>
      <c r="I18" s="49" t="s">
        <v>130</v>
      </c>
      <c r="L18" s="47"/>
    </row>
    <row r="19" spans="1:12">
      <c r="A19" t="s">
        <v>64</v>
      </c>
      <c r="B19" s="16">
        <f t="shared" si="0"/>
        <v>447</v>
      </c>
      <c r="C19" s="38">
        <v>42417.300694444442</v>
      </c>
      <c r="D19" s="39">
        <f t="shared" si="3"/>
        <v>1.132638888884685</v>
      </c>
      <c r="E19" s="19">
        <v>5.19</v>
      </c>
      <c r="F19" s="19">
        <v>4.95</v>
      </c>
      <c r="G19" s="19" t="s">
        <v>78</v>
      </c>
      <c r="H19" s="49" t="s">
        <v>131</v>
      </c>
      <c r="I19" s="49" t="s">
        <v>132</v>
      </c>
      <c r="L19" s="47"/>
    </row>
    <row r="20" spans="1:12">
      <c r="A20" t="s">
        <v>65</v>
      </c>
      <c r="B20" s="16">
        <f t="shared" si="0"/>
        <v>448</v>
      </c>
      <c r="C20" s="38">
        <v>42417.300694444442</v>
      </c>
      <c r="D20" s="39">
        <f t="shared" si="3"/>
        <v>1.132638888884685</v>
      </c>
      <c r="E20" s="19">
        <v>4.83</v>
      </c>
      <c r="F20" s="19">
        <v>4.8099999999999996</v>
      </c>
      <c r="G20" s="19" t="s">
        <v>78</v>
      </c>
      <c r="H20" s="49" t="s">
        <v>133</v>
      </c>
      <c r="I20" s="49" t="s">
        <v>134</v>
      </c>
      <c r="L20" s="47"/>
    </row>
    <row r="21" spans="1:12">
      <c r="A21" t="s">
        <v>66</v>
      </c>
      <c r="B21" s="16">
        <f t="shared" si="0"/>
        <v>449</v>
      </c>
      <c r="C21" s="38">
        <v>42417.306250000001</v>
      </c>
      <c r="D21" s="39">
        <f t="shared" si="3"/>
        <v>1.1381944444437977</v>
      </c>
      <c r="E21" s="19">
        <v>4.7</v>
      </c>
      <c r="F21" s="19">
        <v>4.67</v>
      </c>
      <c r="G21" s="19" t="s">
        <v>78</v>
      </c>
      <c r="H21" s="49" t="s">
        <v>135</v>
      </c>
      <c r="I21" s="49" t="s">
        <v>136</v>
      </c>
      <c r="L21" s="47"/>
    </row>
    <row r="22" spans="1:12" ht="12" customHeight="1">
      <c r="A22" t="s">
        <v>67</v>
      </c>
      <c r="B22" s="16">
        <f t="shared" si="0"/>
        <v>450</v>
      </c>
      <c r="C22" s="38">
        <v>42417.306250000001</v>
      </c>
      <c r="D22" s="39">
        <f t="shared" si="3"/>
        <v>1.1381944444437977</v>
      </c>
      <c r="E22" s="19">
        <v>4.32</v>
      </c>
      <c r="F22" s="19">
        <v>4.2699999999999996</v>
      </c>
      <c r="G22" s="19" t="s">
        <v>78</v>
      </c>
      <c r="H22" s="49" t="s">
        <v>137</v>
      </c>
      <c r="I22" s="49" t="s">
        <v>138</v>
      </c>
      <c r="L22" s="47"/>
    </row>
    <row r="23" spans="1:12">
      <c r="A23" t="s">
        <v>68</v>
      </c>
      <c r="B23" s="16">
        <f t="shared" si="0"/>
        <v>451</v>
      </c>
      <c r="C23" s="38">
        <v>42417.306250000001</v>
      </c>
      <c r="D23" s="39">
        <f t="shared" si="3"/>
        <v>1.1381944444437977</v>
      </c>
      <c r="E23" s="19">
        <v>4.54</v>
      </c>
      <c r="F23" s="19">
        <v>4.28</v>
      </c>
      <c r="G23" s="19" t="s">
        <v>78</v>
      </c>
      <c r="H23" s="49" t="s">
        <v>139</v>
      </c>
      <c r="I23" s="49" t="s">
        <v>140</v>
      </c>
      <c r="L23" s="47"/>
    </row>
    <row r="24" spans="1:12">
      <c r="A24" t="s">
        <v>69</v>
      </c>
      <c r="B24" s="16">
        <f t="shared" si="0"/>
        <v>452</v>
      </c>
      <c r="C24" s="38">
        <v>42417.313194444447</v>
      </c>
      <c r="D24" s="39">
        <f t="shared" si="3"/>
        <v>1.1451388888890506</v>
      </c>
      <c r="E24" s="19">
        <v>0</v>
      </c>
      <c r="F24" s="19">
        <v>0</v>
      </c>
      <c r="G24" s="19"/>
      <c r="H24" s="49" t="s">
        <v>141</v>
      </c>
      <c r="I24" s="49" t="s">
        <v>142</v>
      </c>
      <c r="L24" s="47"/>
    </row>
    <row r="25" spans="1:12">
      <c r="A25" t="s">
        <v>70</v>
      </c>
      <c r="B25" s="16">
        <f t="shared" si="0"/>
        <v>453</v>
      </c>
      <c r="C25" s="38">
        <v>42417.313194444447</v>
      </c>
      <c r="D25" s="39">
        <f t="shared" si="3"/>
        <v>1.1451388888890506</v>
      </c>
      <c r="E25" s="19">
        <v>0</v>
      </c>
      <c r="F25" s="19">
        <v>0</v>
      </c>
      <c r="G25" s="19"/>
      <c r="H25" s="49" t="s">
        <v>143</v>
      </c>
      <c r="I25" s="49" t="s">
        <v>144</v>
      </c>
      <c r="L25" s="47"/>
    </row>
    <row r="26" spans="1:12">
      <c r="A26" t="s">
        <v>71</v>
      </c>
      <c r="B26" s="16">
        <f t="shared" si="0"/>
        <v>454</v>
      </c>
      <c r="C26" s="38">
        <v>42417.313194444447</v>
      </c>
      <c r="D26" s="39">
        <f t="shared" si="3"/>
        <v>1.1451388888890506</v>
      </c>
      <c r="E26" s="19">
        <v>9.31</v>
      </c>
      <c r="F26" s="19">
        <v>5.23</v>
      </c>
      <c r="G26" s="19" t="s">
        <v>78</v>
      </c>
      <c r="H26" s="49">
        <f t="shared" si="1"/>
        <v>9.51</v>
      </c>
      <c r="I26" s="49">
        <f t="shared" si="2"/>
        <v>5.4300000000000006</v>
      </c>
      <c r="L26" s="47"/>
    </row>
    <row r="27" spans="1:12">
      <c r="A27" t="s">
        <v>54</v>
      </c>
      <c r="B27" s="16">
        <v>498</v>
      </c>
      <c r="C27" s="38">
        <v>42418.6875</v>
      </c>
      <c r="D27" s="39">
        <f t="shared" si="3"/>
        <v>2.5194444444423425</v>
      </c>
      <c r="E27" s="19">
        <v>14.3</v>
      </c>
      <c r="F27" s="19">
        <v>8.19</v>
      </c>
      <c r="G27" s="52" t="s">
        <v>78</v>
      </c>
      <c r="H27">
        <f>E27-IF(G27="h",$L$11,IF(G27="m",$L$12,IF(G27="l",$L$13,-99)))</f>
        <v>14.4</v>
      </c>
      <c r="I27">
        <f>F27-IF(G27="h",$L$11,IF(G27="m",$L$12,IF(G27="l",$L$13,-99)))</f>
        <v>8.2899999999999991</v>
      </c>
      <c r="L27" s="47"/>
    </row>
    <row r="28" spans="1:12">
      <c r="A28" t="s">
        <v>55</v>
      </c>
      <c r="B28" s="16">
        <f t="shared" si="0"/>
        <v>499</v>
      </c>
      <c r="C28" s="38">
        <v>42418.6875</v>
      </c>
      <c r="D28" s="39">
        <f t="shared" si="3"/>
        <v>2.5194444444423425</v>
      </c>
      <c r="E28" s="19">
        <v>14</v>
      </c>
      <c r="F28" s="19">
        <v>8.0500000000000007</v>
      </c>
      <c r="G28" s="52" t="s">
        <v>78</v>
      </c>
      <c r="H28" s="49">
        <f t="shared" ref="H28:H44" si="4">E28-IF(G28="h",$L$11,IF(G28="m",$L$12,IF(G28="l",$L$13,-99)))</f>
        <v>14.1</v>
      </c>
      <c r="I28" s="49">
        <f t="shared" ref="I28:I44" si="5">F28-IF(G28="h",$L$11,IF(G28="m",$L$12,IF(G28="l",$L$13,-99)))</f>
        <v>8.15</v>
      </c>
      <c r="L28" s="47"/>
    </row>
    <row r="29" spans="1:12">
      <c r="A29" t="s">
        <v>56</v>
      </c>
      <c r="B29" s="16">
        <f t="shared" si="0"/>
        <v>500</v>
      </c>
      <c r="C29" s="38">
        <v>42418.6875</v>
      </c>
      <c r="D29" s="39">
        <f t="shared" si="3"/>
        <v>2.5194444444423425</v>
      </c>
      <c r="E29" s="19">
        <v>14.1</v>
      </c>
      <c r="F29" s="19">
        <v>8.0500000000000007</v>
      </c>
      <c r="G29" s="52" t="s">
        <v>78</v>
      </c>
      <c r="H29" s="49">
        <f t="shared" si="4"/>
        <v>14.2</v>
      </c>
      <c r="I29" s="49">
        <f t="shared" si="5"/>
        <v>8.15</v>
      </c>
      <c r="L29" s="47"/>
    </row>
    <row r="30" spans="1:12">
      <c r="A30" t="s">
        <v>57</v>
      </c>
      <c r="B30" s="16">
        <f t="shared" si="0"/>
        <v>501</v>
      </c>
      <c r="C30" s="38">
        <v>42418.726388888892</v>
      </c>
      <c r="D30" s="39">
        <f t="shared" si="3"/>
        <v>2.5583333333343035</v>
      </c>
      <c r="E30" s="19">
        <v>13.9</v>
      </c>
      <c r="F30" s="19">
        <v>7.99</v>
      </c>
      <c r="G30" s="52" t="s">
        <v>78</v>
      </c>
      <c r="H30" s="49">
        <f t="shared" si="4"/>
        <v>14</v>
      </c>
      <c r="I30" s="49">
        <f t="shared" si="5"/>
        <v>8.09</v>
      </c>
      <c r="L30" s="47"/>
    </row>
    <row r="31" spans="1:12">
      <c r="A31" t="s">
        <v>58</v>
      </c>
      <c r="B31" s="16">
        <f t="shared" si="0"/>
        <v>502</v>
      </c>
      <c r="C31" s="38">
        <v>42418.726388888892</v>
      </c>
      <c r="D31" s="39">
        <f t="shared" si="3"/>
        <v>2.5583333333343035</v>
      </c>
      <c r="E31" s="19">
        <v>20.100000000000001</v>
      </c>
      <c r="F31" s="19">
        <v>14.7</v>
      </c>
      <c r="G31" s="52" t="s">
        <v>78</v>
      </c>
      <c r="H31" s="49" t="s">
        <v>145</v>
      </c>
      <c r="I31" s="49" t="s">
        <v>146</v>
      </c>
      <c r="L31" s="47"/>
    </row>
    <row r="32" spans="1:12">
      <c r="A32" t="s">
        <v>59</v>
      </c>
      <c r="B32" s="16">
        <f t="shared" si="0"/>
        <v>503</v>
      </c>
      <c r="C32" s="38">
        <v>42418.726388888892</v>
      </c>
      <c r="D32" s="39">
        <f t="shared" si="3"/>
        <v>2.5583333333343035</v>
      </c>
      <c r="E32" s="19">
        <v>15.9</v>
      </c>
      <c r="F32" s="19">
        <v>9.0500000000000007</v>
      </c>
      <c r="G32" s="52" t="s">
        <v>78</v>
      </c>
      <c r="H32" s="49">
        <f t="shared" si="4"/>
        <v>16</v>
      </c>
      <c r="I32" s="49">
        <f t="shared" si="5"/>
        <v>9.15</v>
      </c>
      <c r="L32" s="47"/>
    </row>
    <row r="33" spans="1:12">
      <c r="A33" t="s">
        <v>60</v>
      </c>
      <c r="B33" s="16">
        <f t="shared" si="0"/>
        <v>504</v>
      </c>
      <c r="C33" s="38">
        <v>42418.743055555555</v>
      </c>
      <c r="D33" s="39">
        <f t="shared" si="3"/>
        <v>2.5749999999970896</v>
      </c>
      <c r="E33" s="19">
        <v>18.600000000000001</v>
      </c>
      <c r="F33" s="19">
        <v>10.7</v>
      </c>
      <c r="G33" s="52" t="s">
        <v>78</v>
      </c>
      <c r="H33" s="49">
        <f t="shared" si="4"/>
        <v>18.700000000000003</v>
      </c>
      <c r="I33" s="49">
        <f t="shared" si="5"/>
        <v>10.799999999999999</v>
      </c>
      <c r="L33" s="47"/>
    </row>
    <row r="34" spans="1:12">
      <c r="A34" t="s">
        <v>61</v>
      </c>
      <c r="B34" s="16">
        <f t="shared" si="0"/>
        <v>505</v>
      </c>
      <c r="C34" s="38">
        <v>42418.743055555555</v>
      </c>
      <c r="D34" s="39">
        <f t="shared" si="3"/>
        <v>2.5749999999970896</v>
      </c>
      <c r="E34" s="19">
        <v>17.600000000000001</v>
      </c>
      <c r="F34" s="19">
        <v>10.1</v>
      </c>
      <c r="G34" s="52" t="s">
        <v>78</v>
      </c>
      <c r="H34" s="49">
        <f t="shared" si="4"/>
        <v>17.700000000000003</v>
      </c>
      <c r="I34" s="49">
        <f t="shared" si="5"/>
        <v>10.199999999999999</v>
      </c>
      <c r="L34" s="47"/>
    </row>
    <row r="35" spans="1:12">
      <c r="A35" t="s">
        <v>62</v>
      </c>
      <c r="B35" s="16">
        <f t="shared" si="0"/>
        <v>506</v>
      </c>
      <c r="C35" s="38">
        <v>42418.743055555555</v>
      </c>
      <c r="D35" s="39">
        <f t="shared" si="3"/>
        <v>2.5749999999970896</v>
      </c>
      <c r="E35" s="19">
        <v>16.2</v>
      </c>
      <c r="F35" s="19">
        <v>9.25</v>
      </c>
      <c r="G35" s="52" t="s">
        <v>78</v>
      </c>
      <c r="H35" s="49">
        <f t="shared" si="4"/>
        <v>16.3</v>
      </c>
      <c r="I35" s="49">
        <f t="shared" si="5"/>
        <v>9.35</v>
      </c>
      <c r="L35" s="47"/>
    </row>
    <row r="36" spans="1:12">
      <c r="A36" t="s">
        <v>63</v>
      </c>
      <c r="B36" s="16">
        <f t="shared" si="0"/>
        <v>507</v>
      </c>
      <c r="C36" s="38">
        <v>42418.756944444445</v>
      </c>
      <c r="D36" s="39">
        <f t="shared" si="3"/>
        <v>2.5888888888875954</v>
      </c>
      <c r="E36" s="19">
        <v>14.6</v>
      </c>
      <c r="F36" s="19">
        <v>8.2100000000000009</v>
      </c>
      <c r="G36" s="52" t="s">
        <v>78</v>
      </c>
      <c r="H36" s="49">
        <f t="shared" si="4"/>
        <v>14.7</v>
      </c>
      <c r="I36" s="49">
        <f t="shared" si="5"/>
        <v>8.31</v>
      </c>
      <c r="L36" s="47"/>
    </row>
    <row r="37" spans="1:12">
      <c r="A37" t="s">
        <v>64</v>
      </c>
      <c r="B37" s="16">
        <f t="shared" si="0"/>
        <v>508</v>
      </c>
      <c r="C37" s="38">
        <v>42418.756944444445</v>
      </c>
      <c r="D37" s="39">
        <f t="shared" si="3"/>
        <v>2.5888888888875954</v>
      </c>
      <c r="E37" s="19">
        <v>13.9</v>
      </c>
      <c r="F37" s="19">
        <v>7.95</v>
      </c>
      <c r="G37" s="52" t="s">
        <v>78</v>
      </c>
      <c r="H37" s="49">
        <f t="shared" si="4"/>
        <v>14</v>
      </c>
      <c r="I37" s="49">
        <f t="shared" si="5"/>
        <v>8.0500000000000007</v>
      </c>
      <c r="L37" s="47"/>
    </row>
    <row r="38" spans="1:12">
      <c r="A38" t="s">
        <v>65</v>
      </c>
      <c r="B38" s="16">
        <f t="shared" si="0"/>
        <v>509</v>
      </c>
      <c r="C38" s="38">
        <v>42418.756944444445</v>
      </c>
      <c r="D38" s="39">
        <f t="shared" si="3"/>
        <v>2.5888888888875954</v>
      </c>
      <c r="E38" s="19">
        <v>14.5</v>
      </c>
      <c r="F38" s="19">
        <v>8.23</v>
      </c>
      <c r="G38" s="52" t="s">
        <v>78</v>
      </c>
      <c r="H38" s="49">
        <f t="shared" si="4"/>
        <v>14.6</v>
      </c>
      <c r="I38" s="49">
        <f t="shared" si="5"/>
        <v>8.33</v>
      </c>
      <c r="L38" s="47"/>
    </row>
    <row r="39" spans="1:12">
      <c r="A39" t="s">
        <v>66</v>
      </c>
      <c r="B39" s="16">
        <f t="shared" si="0"/>
        <v>510</v>
      </c>
      <c r="C39" s="38">
        <v>42418.777777777781</v>
      </c>
      <c r="D39" s="39">
        <f t="shared" si="3"/>
        <v>2.609722222223354</v>
      </c>
      <c r="E39" s="19">
        <v>14.3</v>
      </c>
      <c r="F39" s="19">
        <v>8.1199999999999992</v>
      </c>
      <c r="G39" s="52" t="s">
        <v>78</v>
      </c>
      <c r="H39" s="49">
        <f t="shared" si="4"/>
        <v>14.4</v>
      </c>
      <c r="I39" s="49">
        <f t="shared" si="5"/>
        <v>8.2199999999999989</v>
      </c>
      <c r="L39" s="47"/>
    </row>
    <row r="40" spans="1:12">
      <c r="A40" t="s">
        <v>67</v>
      </c>
      <c r="B40" s="16">
        <f t="shared" si="0"/>
        <v>511</v>
      </c>
      <c r="C40" s="38">
        <v>42418.777777777781</v>
      </c>
      <c r="D40" s="39">
        <f t="shared" si="3"/>
        <v>2.609722222223354</v>
      </c>
      <c r="E40" s="19">
        <v>14.1</v>
      </c>
      <c r="F40" s="19">
        <v>7.94</v>
      </c>
      <c r="G40" s="52" t="s">
        <v>78</v>
      </c>
      <c r="H40" s="49">
        <f t="shared" si="4"/>
        <v>14.2</v>
      </c>
      <c r="I40" s="49">
        <f t="shared" si="5"/>
        <v>8.0400000000000009</v>
      </c>
      <c r="L40" s="47"/>
    </row>
    <row r="41" spans="1:12">
      <c r="A41" t="s">
        <v>68</v>
      </c>
      <c r="B41" s="16">
        <f t="shared" si="0"/>
        <v>512</v>
      </c>
      <c r="C41" s="38">
        <v>42418.777777777781</v>
      </c>
      <c r="D41" s="39">
        <f t="shared" si="3"/>
        <v>2.609722222223354</v>
      </c>
      <c r="E41" s="19">
        <v>13.5</v>
      </c>
      <c r="F41" s="19">
        <v>7.62</v>
      </c>
      <c r="G41" s="52" t="s">
        <v>78</v>
      </c>
      <c r="H41" s="49">
        <f t="shared" si="4"/>
        <v>13.6</v>
      </c>
      <c r="I41" s="49">
        <f t="shared" si="5"/>
        <v>7.72</v>
      </c>
    </row>
    <row r="42" spans="1:12">
      <c r="A42" t="s">
        <v>69</v>
      </c>
      <c r="B42" s="16">
        <f t="shared" si="0"/>
        <v>513</v>
      </c>
      <c r="C42" s="38">
        <v>42418.786111111112</v>
      </c>
      <c r="D42" s="39">
        <f t="shared" si="3"/>
        <v>2.6180555555547471</v>
      </c>
      <c r="E42" s="19">
        <v>14</v>
      </c>
      <c r="F42" s="19">
        <v>7.93</v>
      </c>
      <c r="G42" s="52" t="s">
        <v>78</v>
      </c>
      <c r="H42" s="49">
        <f t="shared" si="4"/>
        <v>14.1</v>
      </c>
      <c r="I42" s="49">
        <f t="shared" si="5"/>
        <v>8.0299999999999994</v>
      </c>
    </row>
    <row r="43" spans="1:12">
      <c r="A43" t="s">
        <v>70</v>
      </c>
      <c r="B43" s="16">
        <f t="shared" si="0"/>
        <v>514</v>
      </c>
      <c r="C43" s="38">
        <v>42418.786111111112</v>
      </c>
      <c r="D43" s="39">
        <f t="shared" si="3"/>
        <v>2.6180555555547471</v>
      </c>
      <c r="E43" s="19">
        <v>15.9</v>
      </c>
      <c r="F43" s="19">
        <v>9.06</v>
      </c>
      <c r="G43" s="52" t="s">
        <v>78</v>
      </c>
      <c r="H43" s="49" t="s">
        <v>147</v>
      </c>
      <c r="I43" s="49" t="s">
        <v>148</v>
      </c>
    </row>
    <row r="44" spans="1:12">
      <c r="A44" t="s">
        <v>71</v>
      </c>
      <c r="B44" s="16">
        <f t="shared" si="0"/>
        <v>515</v>
      </c>
      <c r="C44" s="38">
        <v>42418.786111111112</v>
      </c>
      <c r="D44" s="39">
        <f t="shared" si="3"/>
        <v>2.6180555555547471</v>
      </c>
      <c r="E44" s="19">
        <v>12.7</v>
      </c>
      <c r="F44" s="19">
        <v>7.23</v>
      </c>
      <c r="G44" s="52" t="s">
        <v>78</v>
      </c>
      <c r="H44" s="49">
        <f t="shared" si="4"/>
        <v>12.799999999999999</v>
      </c>
      <c r="I44" s="49">
        <f t="shared" si="5"/>
        <v>7.33</v>
      </c>
    </row>
    <row r="45" spans="1:12">
      <c r="A45" t="s">
        <v>54</v>
      </c>
      <c r="B45" s="16">
        <f t="shared" si="0"/>
        <v>516</v>
      </c>
      <c r="C45" s="38">
        <v>42420.519444444442</v>
      </c>
      <c r="D45" s="39">
        <f t="shared" si="3"/>
        <v>4.351388888884685</v>
      </c>
      <c r="E45" s="19">
        <v>14.2</v>
      </c>
      <c r="F45" s="19">
        <v>8.2799999999999994</v>
      </c>
      <c r="G45" s="52" t="s">
        <v>78</v>
      </c>
      <c r="H45" s="49">
        <f>E45-IF(G45="h",$L$15,IF(G45="m",$L$16,IF(G45="l",$L$17,-99)))</f>
        <v>14.2</v>
      </c>
      <c r="I45" s="49">
        <f>F45-IF(G45="h",$L$15,IF(G45="m",$L$16,IF(G45="l",$L$17,-99)))</f>
        <v>8.2799999999999994</v>
      </c>
    </row>
    <row r="46" spans="1:12">
      <c r="A46" t="s">
        <v>55</v>
      </c>
      <c r="B46" s="16">
        <f t="shared" si="0"/>
        <v>517</v>
      </c>
      <c r="C46" s="38">
        <v>42420.519444444442</v>
      </c>
      <c r="D46" s="39">
        <f t="shared" si="3"/>
        <v>4.351388888884685</v>
      </c>
      <c r="E46" s="19">
        <v>12.8</v>
      </c>
      <c r="F46" s="19">
        <v>7.31</v>
      </c>
      <c r="G46" s="52" t="s">
        <v>78</v>
      </c>
      <c r="H46" s="49">
        <f t="shared" ref="H46:H62" si="6">E46-IF(G46="h",$L$15,IF(G46="m",$L$16,IF(G46="l",$L$17,-99)))</f>
        <v>12.8</v>
      </c>
      <c r="I46" s="49">
        <f t="shared" ref="I46:I62" si="7">F46-IF(G46="h",$L$15,IF(G46="m",$L$16,IF(G46="l",$L$17,-99)))</f>
        <v>7.31</v>
      </c>
    </row>
    <row r="47" spans="1:12">
      <c r="A47" t="s">
        <v>56</v>
      </c>
      <c r="B47" s="16">
        <f t="shared" si="0"/>
        <v>518</v>
      </c>
      <c r="C47" s="38">
        <v>42420.519444444442</v>
      </c>
      <c r="D47" s="39">
        <f t="shared" si="3"/>
        <v>4.351388888884685</v>
      </c>
      <c r="E47" s="19">
        <v>12.7</v>
      </c>
      <c r="F47" s="19">
        <v>7.41</v>
      </c>
      <c r="G47" s="52" t="s">
        <v>78</v>
      </c>
      <c r="H47" s="49">
        <f t="shared" si="6"/>
        <v>12.7</v>
      </c>
      <c r="I47" s="49">
        <f t="shared" si="7"/>
        <v>7.41</v>
      </c>
    </row>
    <row r="48" spans="1:12">
      <c r="A48" t="s">
        <v>57</v>
      </c>
      <c r="B48" s="16">
        <f t="shared" si="0"/>
        <v>519</v>
      </c>
      <c r="C48" s="38">
        <v>42420.538194444445</v>
      </c>
      <c r="D48" s="39">
        <f t="shared" si="3"/>
        <v>4.3701388888875954</v>
      </c>
      <c r="E48" s="19">
        <v>18.8</v>
      </c>
      <c r="F48" s="19">
        <v>10.8</v>
      </c>
      <c r="G48" s="52" t="s">
        <v>78</v>
      </c>
      <c r="H48" s="49">
        <f t="shared" si="6"/>
        <v>18.8</v>
      </c>
      <c r="I48" s="49">
        <f t="shared" si="7"/>
        <v>10.8</v>
      </c>
    </row>
    <row r="49" spans="1:9">
      <c r="A49" t="s">
        <v>58</v>
      </c>
      <c r="B49" s="16">
        <f t="shared" si="0"/>
        <v>520</v>
      </c>
      <c r="C49" s="38">
        <v>42420.538194444445</v>
      </c>
      <c r="D49" s="39">
        <f t="shared" si="3"/>
        <v>4.3701388888875954</v>
      </c>
      <c r="E49" s="19">
        <v>16.899999999999999</v>
      </c>
      <c r="F49" s="19">
        <v>9.66</v>
      </c>
      <c r="G49" s="52" t="s">
        <v>78</v>
      </c>
      <c r="H49" s="49">
        <f t="shared" si="6"/>
        <v>16.899999999999999</v>
      </c>
      <c r="I49" s="49">
        <f t="shared" si="7"/>
        <v>9.66</v>
      </c>
    </row>
    <row r="50" spans="1:9">
      <c r="A50" t="s">
        <v>59</v>
      </c>
      <c r="B50" s="16">
        <f t="shared" si="0"/>
        <v>521</v>
      </c>
      <c r="C50" s="38">
        <v>42420.538194444445</v>
      </c>
      <c r="D50" s="39">
        <f t="shared" si="3"/>
        <v>4.3701388888875954</v>
      </c>
      <c r="E50" s="19">
        <v>13.7</v>
      </c>
      <c r="F50" s="19">
        <v>7.87</v>
      </c>
      <c r="G50" s="52" t="s">
        <v>78</v>
      </c>
      <c r="H50" s="49" t="s">
        <v>149</v>
      </c>
      <c r="I50" s="49" t="s">
        <v>150</v>
      </c>
    </row>
    <row r="51" spans="1:9">
      <c r="A51" t="s">
        <v>60</v>
      </c>
      <c r="B51" s="16">
        <f t="shared" si="0"/>
        <v>522</v>
      </c>
      <c r="C51" s="38">
        <v>42420.554861111108</v>
      </c>
      <c r="D51" s="39">
        <f t="shared" si="3"/>
        <v>4.3868055555503815</v>
      </c>
      <c r="E51" s="19">
        <v>17</v>
      </c>
      <c r="F51" s="19">
        <v>9.61</v>
      </c>
      <c r="G51" s="52" t="s">
        <v>78</v>
      </c>
      <c r="H51" s="49" t="s">
        <v>151</v>
      </c>
      <c r="I51" s="49" t="s">
        <v>152</v>
      </c>
    </row>
    <row r="52" spans="1:9">
      <c r="A52" t="s">
        <v>61</v>
      </c>
      <c r="B52" s="16">
        <f t="shared" si="0"/>
        <v>523</v>
      </c>
      <c r="C52" s="38">
        <v>42420.554861111108</v>
      </c>
      <c r="D52" s="39">
        <f t="shared" si="3"/>
        <v>4.3868055555503815</v>
      </c>
      <c r="E52" s="19">
        <v>14.3</v>
      </c>
      <c r="F52" s="19">
        <v>8.17</v>
      </c>
      <c r="G52" s="52" t="s">
        <v>78</v>
      </c>
      <c r="H52" s="49">
        <f t="shared" si="6"/>
        <v>14.3</v>
      </c>
      <c r="I52" s="49">
        <f t="shared" si="7"/>
        <v>8.17</v>
      </c>
    </row>
    <row r="53" spans="1:9">
      <c r="A53" t="s">
        <v>62</v>
      </c>
      <c r="B53" s="16">
        <f t="shared" si="0"/>
        <v>524</v>
      </c>
      <c r="C53" s="38">
        <v>42420.554861111108</v>
      </c>
      <c r="D53" s="39">
        <f t="shared" si="3"/>
        <v>4.3868055555503815</v>
      </c>
      <c r="E53" s="19">
        <v>15.5</v>
      </c>
      <c r="F53" s="19">
        <v>8.98</v>
      </c>
      <c r="G53" s="52" t="s">
        <v>78</v>
      </c>
      <c r="H53" s="49">
        <f t="shared" si="6"/>
        <v>15.5</v>
      </c>
      <c r="I53" s="49">
        <f t="shared" si="7"/>
        <v>8.98</v>
      </c>
    </row>
    <row r="54" spans="1:9">
      <c r="A54" t="s">
        <v>63</v>
      </c>
      <c r="B54" s="16">
        <f t="shared" si="0"/>
        <v>525</v>
      </c>
      <c r="C54" s="38">
        <v>42420.569444444445</v>
      </c>
      <c r="D54" s="39">
        <f t="shared" si="3"/>
        <v>4.4013888888875954</v>
      </c>
      <c r="E54" s="19">
        <v>15.2</v>
      </c>
      <c r="F54" s="19">
        <v>8.52</v>
      </c>
      <c r="G54" s="52" t="s">
        <v>78</v>
      </c>
      <c r="H54" s="49">
        <f t="shared" si="6"/>
        <v>15.2</v>
      </c>
      <c r="I54" s="49">
        <f t="shared" si="7"/>
        <v>8.52</v>
      </c>
    </row>
    <row r="55" spans="1:9">
      <c r="A55" t="s">
        <v>64</v>
      </c>
      <c r="B55" s="16">
        <f t="shared" si="0"/>
        <v>526</v>
      </c>
      <c r="C55" s="38">
        <v>42420.569444444445</v>
      </c>
      <c r="D55" s="39">
        <f t="shared" si="3"/>
        <v>4.4013888888875954</v>
      </c>
      <c r="E55" s="19">
        <v>18.5</v>
      </c>
      <c r="F55" s="19">
        <v>10.199999999999999</v>
      </c>
      <c r="G55" s="52" t="s">
        <v>78</v>
      </c>
      <c r="H55" s="49" t="s">
        <v>153</v>
      </c>
      <c r="I55" s="49" t="s">
        <v>154</v>
      </c>
    </row>
    <row r="56" spans="1:9">
      <c r="A56" t="s">
        <v>65</v>
      </c>
      <c r="B56" s="16">
        <f t="shared" si="0"/>
        <v>527</v>
      </c>
      <c r="C56" s="38">
        <v>42420.569444444445</v>
      </c>
      <c r="D56" s="39">
        <f t="shared" si="3"/>
        <v>4.4013888888875954</v>
      </c>
      <c r="E56" s="19">
        <v>15</v>
      </c>
      <c r="F56" s="19">
        <v>8.43</v>
      </c>
      <c r="G56" s="52" t="s">
        <v>78</v>
      </c>
      <c r="H56" s="49">
        <f t="shared" si="6"/>
        <v>15</v>
      </c>
      <c r="I56" s="49">
        <f t="shared" si="7"/>
        <v>8.43</v>
      </c>
    </row>
    <row r="57" spans="1:9">
      <c r="A57" t="s">
        <v>66</v>
      </c>
      <c r="B57" s="16">
        <f t="shared" si="0"/>
        <v>528</v>
      </c>
      <c r="C57" s="38">
        <v>42420.586805555555</v>
      </c>
      <c r="D57" s="39">
        <f t="shared" si="3"/>
        <v>4.4187499999970896</v>
      </c>
      <c r="E57" s="19">
        <v>18.3</v>
      </c>
      <c r="F57" s="19">
        <v>10.3</v>
      </c>
      <c r="G57" s="52" t="s">
        <v>78</v>
      </c>
      <c r="H57" s="49">
        <f t="shared" si="6"/>
        <v>18.3</v>
      </c>
      <c r="I57" s="49">
        <f t="shared" si="7"/>
        <v>10.3</v>
      </c>
    </row>
    <row r="58" spans="1:9">
      <c r="A58" t="s">
        <v>67</v>
      </c>
      <c r="B58" s="16">
        <f t="shared" si="0"/>
        <v>529</v>
      </c>
      <c r="C58" s="38">
        <v>42420.586805555555</v>
      </c>
      <c r="D58" s="39">
        <f t="shared" si="3"/>
        <v>4.4187499999970896</v>
      </c>
      <c r="E58" s="19">
        <v>17.8</v>
      </c>
      <c r="F58" s="19">
        <v>9.85</v>
      </c>
      <c r="G58" s="52" t="s">
        <v>78</v>
      </c>
      <c r="H58" s="49">
        <f t="shared" si="6"/>
        <v>17.8</v>
      </c>
      <c r="I58" s="49">
        <f t="shared" si="7"/>
        <v>9.85</v>
      </c>
    </row>
    <row r="59" spans="1:9">
      <c r="A59" t="s">
        <v>68</v>
      </c>
      <c r="B59" s="16">
        <f t="shared" si="0"/>
        <v>530</v>
      </c>
      <c r="C59" s="38">
        <v>42420.586805555555</v>
      </c>
      <c r="D59" s="39">
        <f t="shared" si="3"/>
        <v>4.4187499999970896</v>
      </c>
      <c r="E59" s="19">
        <v>17.2</v>
      </c>
      <c r="F59" s="19">
        <v>10</v>
      </c>
      <c r="G59" s="52" t="s">
        <v>78</v>
      </c>
      <c r="H59" s="49">
        <f t="shared" si="6"/>
        <v>17.2</v>
      </c>
      <c r="I59" s="49">
        <f t="shared" si="7"/>
        <v>10</v>
      </c>
    </row>
    <row r="60" spans="1:9">
      <c r="A60" t="s">
        <v>69</v>
      </c>
      <c r="B60" s="16">
        <f t="shared" si="0"/>
        <v>531</v>
      </c>
      <c r="C60" s="38">
        <v>42420.600694444445</v>
      </c>
      <c r="D60" s="39">
        <f t="shared" si="3"/>
        <v>4.4326388888875954</v>
      </c>
      <c r="E60" s="19">
        <v>13.7</v>
      </c>
      <c r="F60" s="19">
        <v>7.62</v>
      </c>
      <c r="G60" s="52" t="s">
        <v>78</v>
      </c>
      <c r="H60" s="49">
        <f t="shared" si="6"/>
        <v>13.7</v>
      </c>
      <c r="I60" s="49">
        <f t="shared" si="7"/>
        <v>7.62</v>
      </c>
    </row>
    <row r="61" spans="1:9">
      <c r="A61" t="s">
        <v>70</v>
      </c>
      <c r="B61" s="16">
        <f t="shared" si="0"/>
        <v>532</v>
      </c>
      <c r="C61" s="38">
        <v>42420.600694444445</v>
      </c>
      <c r="D61" s="39">
        <f t="shared" si="3"/>
        <v>4.4326388888875954</v>
      </c>
      <c r="E61" s="19">
        <v>20.6</v>
      </c>
      <c r="F61" s="19">
        <v>11.6</v>
      </c>
      <c r="G61" s="52" t="s">
        <v>78</v>
      </c>
      <c r="H61" s="49" t="s">
        <v>155</v>
      </c>
      <c r="I61" s="49" t="s">
        <v>156</v>
      </c>
    </row>
    <row r="62" spans="1:9">
      <c r="A62" t="s">
        <v>71</v>
      </c>
      <c r="B62" s="16">
        <f t="shared" si="0"/>
        <v>533</v>
      </c>
      <c r="C62" s="38">
        <v>42420.600694444445</v>
      </c>
      <c r="D62" s="39">
        <f t="shared" si="3"/>
        <v>4.4326388888875954</v>
      </c>
      <c r="E62" s="19">
        <v>13.9</v>
      </c>
      <c r="F62" s="19">
        <v>7.79</v>
      </c>
      <c r="G62" s="52" t="s">
        <v>78</v>
      </c>
      <c r="H62" s="49">
        <f t="shared" si="6"/>
        <v>13.9</v>
      </c>
      <c r="I62" s="49">
        <f t="shared" si="7"/>
        <v>7.79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U62"/>
  <sheetViews>
    <sheetView workbookViewId="0">
      <selection activeCell="G3" sqref="G3"/>
    </sheetView>
  </sheetViews>
  <sheetFormatPr defaultColWidth="11.453125" defaultRowHeight="12.5"/>
  <cols>
    <col min="1" max="1" width="10.26953125" customWidth="1"/>
    <col min="2" max="2" width="6" customWidth="1"/>
    <col min="3" max="3" width="10.1796875" customWidth="1"/>
    <col min="4" max="4" width="9" style="15" customWidth="1"/>
    <col min="5" max="5" width="8.7265625" customWidth="1"/>
    <col min="6" max="6" width="9.81640625" customWidth="1"/>
    <col min="7" max="7" width="6.54296875" style="2" customWidth="1"/>
    <col min="8" max="8" width="6.54296875" style="13" customWidth="1"/>
    <col min="9" max="9" width="8" customWidth="1"/>
    <col min="10" max="10" width="10.54296875" customWidth="1"/>
    <col min="11" max="11" width="9.7265625" customWidth="1"/>
    <col min="12" max="12" width="9.26953125" customWidth="1"/>
    <col min="13" max="13" width="9.54296875" customWidth="1"/>
    <col min="14" max="14" width="9.26953125" customWidth="1"/>
    <col min="15" max="15" width="9" customWidth="1"/>
    <col min="16" max="16" width="8.54296875" customWidth="1"/>
    <col min="17" max="17" width="11.453125" customWidth="1"/>
    <col min="18" max="18" width="9.453125" customWidth="1"/>
    <col min="19" max="19" width="10" customWidth="1"/>
    <col min="20" max="20" width="12.54296875" customWidth="1"/>
  </cols>
  <sheetData>
    <row r="1" spans="1:21" s="10" customFormat="1" ht="30" customHeight="1">
      <c r="A1" s="3" t="s">
        <v>0</v>
      </c>
      <c r="B1" s="3" t="s">
        <v>1</v>
      </c>
      <c r="C1" s="3" t="s">
        <v>2</v>
      </c>
      <c r="D1" s="14" t="s">
        <v>74</v>
      </c>
      <c r="E1" s="3" t="s">
        <v>3</v>
      </c>
      <c r="F1" s="3" t="s">
        <v>4</v>
      </c>
      <c r="G1" s="4" t="s">
        <v>5</v>
      </c>
      <c r="H1" s="5" t="s">
        <v>6</v>
      </c>
      <c r="I1" s="6" t="s">
        <v>7</v>
      </c>
      <c r="J1" s="3" t="s">
        <v>19</v>
      </c>
      <c r="K1" s="7" t="s">
        <v>8</v>
      </c>
      <c r="L1" s="7" t="s">
        <v>9</v>
      </c>
      <c r="M1" s="7" t="s">
        <v>10</v>
      </c>
      <c r="N1" s="7" t="s">
        <v>11</v>
      </c>
      <c r="O1" s="8" t="s">
        <v>12</v>
      </c>
      <c r="P1" s="8" t="s">
        <v>13</v>
      </c>
      <c r="Q1" s="8" t="s">
        <v>14</v>
      </c>
      <c r="R1" s="9" t="s">
        <v>15</v>
      </c>
      <c r="S1" s="9" t="s">
        <v>16</v>
      </c>
      <c r="T1" s="9" t="s">
        <v>17</v>
      </c>
      <c r="U1" s="10" t="s">
        <v>50</v>
      </c>
    </row>
    <row r="2" spans="1:21" s="12" customFormat="1" ht="13" customHeight="1">
      <c r="A2">
        <f>Entry!B3</f>
        <v>406</v>
      </c>
      <c r="B2" s="11" t="s">
        <v>18</v>
      </c>
      <c r="C2" s="18">
        <f>Entry!C3</f>
        <v>42416.168055555558</v>
      </c>
      <c r="D2" s="40">
        <f>Entry!D3</f>
        <v>0</v>
      </c>
      <c r="E2" s="41">
        <v>100</v>
      </c>
      <c r="F2" s="42">
        <v>10</v>
      </c>
      <c r="G2" s="44">
        <f>Entry!H3</f>
        <v>7.8100000000000005</v>
      </c>
      <c r="H2" s="44">
        <f>Entry!I3</f>
        <v>4.57</v>
      </c>
      <c r="I2" s="41">
        <v>1</v>
      </c>
      <c r="J2" s="48">
        <f>Entry!$J$3</f>
        <v>1.9438</v>
      </c>
      <c r="K2" s="53">
        <f>G2*(F2/E2)*I2</f>
        <v>0.78100000000000014</v>
      </c>
      <c r="L2" s="33">
        <f t="shared" ref="L2:L61" si="0">G2/H2</f>
        <v>1.7089715536105032</v>
      </c>
      <c r="M2" s="33"/>
      <c r="N2" s="34"/>
      <c r="O2" s="34">
        <f t="shared" ref="O2:O61" si="1">(G2-H2)*J2*(F2/E2)*I2</f>
        <v>0.62979120000000011</v>
      </c>
      <c r="P2" s="34">
        <f t="shared" ref="P2:P61" si="2">J2*(1.84*H2-G2)*(F2/E2)*I2</f>
        <v>0.11639474400000012</v>
      </c>
      <c r="Q2" s="35">
        <f t="shared" ref="Q2:Q61" si="3">O2+P2</f>
        <v>0.74618594400000027</v>
      </c>
    </row>
    <row r="3" spans="1:21">
      <c r="A3">
        <f>Entry!B4</f>
        <v>407</v>
      </c>
      <c r="B3" s="1" t="s">
        <v>18</v>
      </c>
      <c r="C3" s="18">
        <f>Entry!C4</f>
        <v>42416.168055555558</v>
      </c>
      <c r="D3" s="40">
        <f>Entry!D4</f>
        <v>0</v>
      </c>
      <c r="E3" s="32">
        <v>100</v>
      </c>
      <c r="F3" s="32">
        <v>10</v>
      </c>
      <c r="G3" s="44" t="str">
        <f>Entry!H4</f>
        <v>!=E4-IF(G4="h",$L$3,IF(G4="m",$L$4,IF(G4="l",$L$5,-99)))</v>
      </c>
      <c r="H3" s="44" t="str">
        <f>Entry!I4</f>
        <v>!=F4-IF(G4="h",$L$3,IF(G4="m",$L$4,IF(G4="l",$L$5,-99)))</v>
      </c>
      <c r="I3" s="43">
        <v>1</v>
      </c>
      <c r="J3" s="48">
        <f>Entry!$J$3</f>
        <v>1.9438</v>
      </c>
      <c r="K3" s="36" t="e">
        <f>G3*(F3/E3)*I3</f>
        <v>#VALUE!</v>
      </c>
      <c r="L3" s="36" t="e">
        <f t="shared" si="0"/>
        <v>#VALUE!</v>
      </c>
      <c r="M3" s="36"/>
      <c r="N3" s="36"/>
      <c r="O3" s="36" t="e">
        <f t="shared" si="1"/>
        <v>#VALUE!</v>
      </c>
      <c r="P3" s="36" t="e">
        <f t="shared" si="2"/>
        <v>#VALUE!</v>
      </c>
      <c r="Q3" s="36" t="e">
        <f t="shared" si="3"/>
        <v>#VALUE!</v>
      </c>
      <c r="R3" s="36"/>
      <c r="S3" s="37"/>
    </row>
    <row r="4" spans="1:21">
      <c r="A4">
        <f>Entry!B5</f>
        <v>408</v>
      </c>
      <c r="B4" s="1" t="s">
        <v>18</v>
      </c>
      <c r="C4" s="18">
        <f>Entry!C5</f>
        <v>42416.168055555558</v>
      </c>
      <c r="D4" s="40">
        <f>Entry!D5</f>
        <v>0</v>
      </c>
      <c r="E4" s="32">
        <v>100</v>
      </c>
      <c r="F4" s="32">
        <v>10</v>
      </c>
      <c r="G4" s="44" t="str">
        <f>Entry!H5</f>
        <v>!=E5-IF(G5="h",$L$3,IF(G5="m",$L$4,IF(G5="l",$L$5,-99)))</v>
      </c>
      <c r="H4" s="44" t="str">
        <f>Entry!I5</f>
        <v>!=F5-IF(G5="h",$L$3,IF(G5="m",$L$4,IF(G5="l",$L$5,-99)))</v>
      </c>
      <c r="I4" s="43">
        <v>1</v>
      </c>
      <c r="J4" s="48">
        <f>Entry!$J$3</f>
        <v>1.9438</v>
      </c>
      <c r="K4" s="36" t="e">
        <f>G4*(F4/E4)*I4</f>
        <v>#VALUE!</v>
      </c>
      <c r="L4" s="36" t="e">
        <f t="shared" si="0"/>
        <v>#VALUE!</v>
      </c>
      <c r="M4" s="36" t="e">
        <f>(K2+K3+K4)/3</f>
        <v>#VALUE!</v>
      </c>
      <c r="N4" s="36" t="e">
        <f>(L2+L3+L4)/3</f>
        <v>#VALUE!</v>
      </c>
      <c r="O4" s="36" t="e">
        <f t="shared" si="1"/>
        <v>#VALUE!</v>
      </c>
      <c r="P4" s="36" t="e">
        <f t="shared" si="2"/>
        <v>#VALUE!</v>
      </c>
      <c r="Q4" s="36" t="e">
        <f t="shared" si="3"/>
        <v>#VALUE!</v>
      </c>
      <c r="R4" s="36" t="e">
        <f>(O2+O3+O4)/3</f>
        <v>#VALUE!</v>
      </c>
      <c r="S4" s="37" t="e">
        <f>(P2+P3+P4)/3</f>
        <v>#VALUE!</v>
      </c>
      <c r="T4" t="e">
        <f>(Q2+Q3+Q4)/3</f>
        <v>#VALUE!</v>
      </c>
      <c r="U4" t="e">
        <f>STDEV(O2:O4)</f>
        <v>#VALUE!</v>
      </c>
    </row>
    <row r="5" spans="1:21">
      <c r="A5">
        <f>Entry!B6</f>
        <v>409</v>
      </c>
      <c r="B5" s="1" t="s">
        <v>18</v>
      </c>
      <c r="C5" s="18">
        <f>Entry!C6</f>
        <v>42416.178472222222</v>
      </c>
      <c r="D5" s="40">
        <f>Entry!D6</f>
        <v>1.0416666664241347E-2</v>
      </c>
      <c r="E5" s="32">
        <v>100</v>
      </c>
      <c r="F5" s="32">
        <v>10</v>
      </c>
      <c r="G5" s="44" t="str">
        <f>Entry!H6</f>
        <v>!=E6-IF(G6="h",$L$3,IF(G6="m",$L$4,IF(G6="l",$L$5,-99)))</v>
      </c>
      <c r="H5" s="44" t="str">
        <f>Entry!I6</f>
        <v>!=F6-IF(G6="h",$L$3,IF(G6="m",$L$4,IF(G6="l",$L$5,-99)))</v>
      </c>
      <c r="I5" s="43">
        <v>1</v>
      </c>
      <c r="J5" s="48">
        <f>Entry!$J$3</f>
        <v>1.9438</v>
      </c>
      <c r="K5" s="36" t="e">
        <f>G5*(F5/E5)*I5</f>
        <v>#VALUE!</v>
      </c>
      <c r="L5" s="36" t="e">
        <f t="shared" si="0"/>
        <v>#VALUE!</v>
      </c>
      <c r="M5" s="36"/>
      <c r="N5" s="36"/>
      <c r="O5" s="36" t="e">
        <f t="shared" si="1"/>
        <v>#VALUE!</v>
      </c>
      <c r="P5" s="36" t="e">
        <f t="shared" si="2"/>
        <v>#VALUE!</v>
      </c>
      <c r="Q5" s="36" t="e">
        <f t="shared" si="3"/>
        <v>#VALUE!</v>
      </c>
      <c r="R5" s="36"/>
      <c r="S5" s="37"/>
    </row>
    <row r="6" spans="1:21">
      <c r="A6">
        <f>Entry!B7</f>
        <v>410</v>
      </c>
      <c r="B6" s="1" t="s">
        <v>18</v>
      </c>
      <c r="C6" s="18">
        <f>Entry!C7</f>
        <v>42416.178472222222</v>
      </c>
      <c r="D6" s="40">
        <f>Entry!D7</f>
        <v>1.0416666664241347E-2</v>
      </c>
      <c r="E6" s="32">
        <v>100</v>
      </c>
      <c r="F6" s="32">
        <v>10</v>
      </c>
      <c r="G6" s="44">
        <f>Entry!H7</f>
        <v>8.1</v>
      </c>
      <c r="H6" s="44">
        <f>Entry!I7</f>
        <v>4.83</v>
      </c>
      <c r="I6" s="43">
        <v>1</v>
      </c>
      <c r="J6" s="48">
        <f>Entry!$J$3</f>
        <v>1.9438</v>
      </c>
      <c r="K6" s="36">
        <f t="shared" ref="K6:K61" si="4">G6*(F6/E6)*I6</f>
        <v>0.81</v>
      </c>
      <c r="L6" s="36">
        <f t="shared" si="0"/>
        <v>1.6770186335403725</v>
      </c>
      <c r="M6" s="36"/>
      <c r="N6" s="36"/>
      <c r="O6" s="36">
        <f t="shared" si="1"/>
        <v>0.63562260000000004</v>
      </c>
      <c r="P6" s="36">
        <f t="shared" si="2"/>
        <v>0.15301593600000007</v>
      </c>
      <c r="Q6" s="36">
        <f t="shared" si="3"/>
        <v>0.78863853600000011</v>
      </c>
      <c r="R6" s="36"/>
      <c r="S6" s="37"/>
    </row>
    <row r="7" spans="1:21">
      <c r="A7">
        <f>Entry!B8</f>
        <v>411</v>
      </c>
      <c r="B7" s="1" t="s">
        <v>18</v>
      </c>
      <c r="C7" s="18">
        <f>Entry!C8</f>
        <v>42416.178472222222</v>
      </c>
      <c r="D7" s="40">
        <f>Entry!D8</f>
        <v>1.0416666664241347E-2</v>
      </c>
      <c r="E7" s="32">
        <v>100</v>
      </c>
      <c r="F7" s="32">
        <v>10</v>
      </c>
      <c r="G7" s="44">
        <f>Entry!H8</f>
        <v>7.82</v>
      </c>
      <c r="H7" s="44">
        <f>Entry!I8</f>
        <v>4.62</v>
      </c>
      <c r="I7" s="43">
        <v>1</v>
      </c>
      <c r="J7" s="48">
        <f>Entry!$J$3</f>
        <v>1.9438</v>
      </c>
      <c r="K7" s="36">
        <f t="shared" si="4"/>
        <v>0.78200000000000003</v>
      </c>
      <c r="L7" s="36">
        <f t="shared" si="0"/>
        <v>1.6926406926406927</v>
      </c>
      <c r="M7" s="36" t="e">
        <f t="shared" ref="M7:M61" si="5">(K5+K6+K7)/3</f>
        <v>#VALUE!</v>
      </c>
      <c r="N7" s="36" t="e">
        <f t="shared" ref="N7:N61" si="6">(L5+L6+L7)/3</f>
        <v>#VALUE!</v>
      </c>
      <c r="O7" s="36">
        <f t="shared" si="1"/>
        <v>0.62201600000000001</v>
      </c>
      <c r="P7" s="36">
        <f t="shared" si="2"/>
        <v>0.13233390399999995</v>
      </c>
      <c r="Q7" s="36">
        <f t="shared" si="3"/>
        <v>0.7543499039999999</v>
      </c>
      <c r="R7" s="36" t="e">
        <f t="shared" ref="R7:R61" si="7">(O5+O6+O7)/3</f>
        <v>#VALUE!</v>
      </c>
      <c r="S7" s="37" t="e">
        <f t="shared" ref="S7:S61" si="8">(P5+P6+P7)/3</f>
        <v>#VALUE!</v>
      </c>
      <c r="T7" t="e">
        <f t="shared" ref="T7:T61" si="9">(Q5+Q6+Q7)/3</f>
        <v>#VALUE!</v>
      </c>
      <c r="U7" t="e">
        <f t="shared" ref="U7:U61" si="10">STDEV(O5:O7)</f>
        <v>#VALUE!</v>
      </c>
    </row>
    <row r="8" spans="1:21">
      <c r="A8">
        <f>Entry!B9</f>
        <v>437</v>
      </c>
      <c r="B8" s="1" t="s">
        <v>18</v>
      </c>
      <c r="C8" s="18">
        <f>Entry!C9</f>
        <v>42417.270138888889</v>
      </c>
      <c r="D8" s="40">
        <f>Entry!D9</f>
        <v>1.1020833333313931</v>
      </c>
      <c r="E8" s="32">
        <v>100</v>
      </c>
      <c r="F8" s="32">
        <v>10</v>
      </c>
      <c r="G8" s="44">
        <f>Entry!H9</f>
        <v>10.5</v>
      </c>
      <c r="H8" s="44">
        <f>Entry!I9</f>
        <v>6.1000000000000005</v>
      </c>
      <c r="I8" s="43">
        <v>1</v>
      </c>
      <c r="J8" s="48">
        <f>Entry!$J$3</f>
        <v>1.9438</v>
      </c>
      <c r="K8" s="36">
        <f t="shared" si="4"/>
        <v>1.05</v>
      </c>
      <c r="L8" s="36">
        <f t="shared" si="0"/>
        <v>1.721311475409836</v>
      </c>
      <c r="M8" s="36"/>
      <c r="N8" s="36"/>
      <c r="O8" s="36">
        <f t="shared" si="1"/>
        <v>0.85527199999999992</v>
      </c>
      <c r="P8" s="36">
        <f t="shared" si="2"/>
        <v>0.1407311200000004</v>
      </c>
      <c r="Q8" s="36">
        <f t="shared" si="3"/>
        <v>0.99600312000000035</v>
      </c>
      <c r="R8" s="36"/>
      <c r="S8" s="37"/>
    </row>
    <row r="9" spans="1:21">
      <c r="A9">
        <f>Entry!B10</f>
        <v>438</v>
      </c>
      <c r="B9" s="1" t="s">
        <v>18</v>
      </c>
      <c r="C9" s="18">
        <f>Entry!C10</f>
        <v>42417.270138888889</v>
      </c>
      <c r="D9" s="40">
        <f>Entry!D10</f>
        <v>1.1020833333313931</v>
      </c>
      <c r="E9" s="32">
        <v>100</v>
      </c>
      <c r="F9" s="32">
        <v>10</v>
      </c>
      <c r="G9" s="44" t="str">
        <f>Entry!H10</f>
        <v>!=E10-IF(G10="h",$L$3,IF(G10="m",$L$4,IF(G10="l",$L$5,-99)))</v>
      </c>
      <c r="H9" s="44" t="str">
        <f>Entry!I10</f>
        <v>!=F10-IF(G10="h",$L$3,IF(G10="m",$L$4,IF(G10="l",$L$5,-99)))</v>
      </c>
      <c r="I9" s="43">
        <v>1</v>
      </c>
      <c r="J9" s="48">
        <f>Entry!$J$3</f>
        <v>1.9438</v>
      </c>
      <c r="K9" s="36" t="e">
        <f t="shared" si="4"/>
        <v>#VALUE!</v>
      </c>
      <c r="L9" s="36" t="e">
        <f t="shared" si="0"/>
        <v>#VALUE!</v>
      </c>
      <c r="M9" s="36"/>
      <c r="N9" s="36"/>
      <c r="O9" s="36" t="e">
        <f t="shared" si="1"/>
        <v>#VALUE!</v>
      </c>
      <c r="P9" s="36" t="e">
        <f t="shared" si="2"/>
        <v>#VALUE!</v>
      </c>
      <c r="Q9" s="36" t="e">
        <f t="shared" si="3"/>
        <v>#VALUE!</v>
      </c>
      <c r="R9" s="36"/>
      <c r="S9" s="37"/>
    </row>
    <row r="10" spans="1:21">
      <c r="A10">
        <f>Entry!B11</f>
        <v>439</v>
      </c>
      <c r="B10" s="1" t="s">
        <v>18</v>
      </c>
      <c r="C10" s="18">
        <f>Entry!C11</f>
        <v>42417.270138888889</v>
      </c>
      <c r="D10" s="40">
        <f>Entry!D11</f>
        <v>1.1020833333313931</v>
      </c>
      <c r="E10" s="32">
        <v>100</v>
      </c>
      <c r="F10" s="32">
        <v>10</v>
      </c>
      <c r="G10" s="44" t="str">
        <f>Entry!H11</f>
        <v>!=E11-IF(G11="h",$L$3,IF(G11="m",$L$4,IF(G11="l",$L$5,-99)))</v>
      </c>
      <c r="H10" s="44" t="str">
        <f>Entry!I11</f>
        <v>!=F11-IF(G11="h",$L$3,IF(G11="m",$L$4,IF(G11="l",$L$5,-99)))</v>
      </c>
      <c r="I10" s="43">
        <v>1</v>
      </c>
      <c r="J10" s="48">
        <f>Entry!$J$3</f>
        <v>1.9438</v>
      </c>
      <c r="K10" s="36" t="e">
        <f t="shared" si="4"/>
        <v>#VALUE!</v>
      </c>
      <c r="L10" s="36" t="e">
        <f t="shared" si="0"/>
        <v>#VALUE!</v>
      </c>
      <c r="M10" s="36" t="e">
        <f t="shared" si="5"/>
        <v>#VALUE!</v>
      </c>
      <c r="N10" s="36" t="e">
        <f t="shared" si="6"/>
        <v>#VALUE!</v>
      </c>
      <c r="O10" s="36" t="e">
        <f t="shared" si="1"/>
        <v>#VALUE!</v>
      </c>
      <c r="P10" s="36" t="e">
        <f t="shared" si="2"/>
        <v>#VALUE!</v>
      </c>
      <c r="Q10" s="36" t="e">
        <f t="shared" si="3"/>
        <v>#VALUE!</v>
      </c>
      <c r="R10" s="36" t="e">
        <f t="shared" si="7"/>
        <v>#VALUE!</v>
      </c>
      <c r="S10" s="37" t="e">
        <f t="shared" si="8"/>
        <v>#VALUE!</v>
      </c>
      <c r="T10" t="e">
        <f t="shared" si="9"/>
        <v>#VALUE!</v>
      </c>
      <c r="U10" t="e">
        <f t="shared" si="10"/>
        <v>#VALUE!</v>
      </c>
    </row>
    <row r="11" spans="1:21">
      <c r="A11">
        <f>Entry!B12</f>
        <v>440</v>
      </c>
      <c r="B11" s="1" t="s">
        <v>18</v>
      </c>
      <c r="C11" s="18">
        <f>Entry!C12</f>
        <v>42417.28125</v>
      </c>
      <c r="D11" s="40">
        <f>Entry!D12</f>
        <v>1.1131944444423425</v>
      </c>
      <c r="E11" s="32">
        <v>100</v>
      </c>
      <c r="F11" s="32">
        <v>10</v>
      </c>
      <c r="G11" s="44" t="str">
        <f>Entry!H12</f>
        <v>!=E12-IF(G12="h",$L$3,IF(G12="m",$L$4,IF(G12="l",$L$5,-99)))</v>
      </c>
      <c r="H11" s="44" t="str">
        <f>Entry!I12</f>
        <v>!=F12-IF(G12="h",$L$3,IF(G12="m",$L$4,IF(G12="l",$L$5,-99)))</v>
      </c>
      <c r="I11" s="43">
        <v>1</v>
      </c>
      <c r="J11" s="48">
        <f>Entry!$J$3</f>
        <v>1.9438</v>
      </c>
      <c r="K11" s="36" t="e">
        <f t="shared" si="4"/>
        <v>#VALUE!</v>
      </c>
      <c r="L11" s="36" t="e">
        <f t="shared" si="0"/>
        <v>#VALUE!</v>
      </c>
      <c r="M11" s="36"/>
      <c r="N11" s="36"/>
      <c r="O11" s="36" t="e">
        <f t="shared" si="1"/>
        <v>#VALUE!</v>
      </c>
      <c r="P11" s="36" t="e">
        <f t="shared" si="2"/>
        <v>#VALUE!</v>
      </c>
      <c r="Q11" s="36" t="e">
        <f t="shared" si="3"/>
        <v>#VALUE!</v>
      </c>
      <c r="R11" s="36"/>
      <c r="S11" s="37"/>
    </row>
    <row r="12" spans="1:21">
      <c r="A12">
        <f>Entry!B13</f>
        <v>441</v>
      </c>
      <c r="B12" s="1" t="s">
        <v>18</v>
      </c>
      <c r="C12" s="18">
        <f>Entry!C13</f>
        <v>42417.28125</v>
      </c>
      <c r="D12" s="40">
        <f>Entry!D13</f>
        <v>1.1131944444423425</v>
      </c>
      <c r="E12" s="32">
        <v>100</v>
      </c>
      <c r="F12" s="32">
        <v>10</v>
      </c>
      <c r="G12" s="44" t="str">
        <f>Entry!H13</f>
        <v>!=E13-IF(G13="h",$L$3,IF(G13="m",$L$4,IF(G13="l",$L$5,-99)))</v>
      </c>
      <c r="H12" s="44" t="str">
        <f>Entry!I13</f>
        <v>!=F13-IF(G13="h",$L$3,IF(G13="m",$L$4,IF(G13="l",$L$5,-99)))</v>
      </c>
      <c r="I12" s="43">
        <v>1</v>
      </c>
      <c r="J12" s="48">
        <f>Entry!$J$3</f>
        <v>1.9438</v>
      </c>
      <c r="K12" s="36" t="e">
        <f t="shared" si="4"/>
        <v>#VALUE!</v>
      </c>
      <c r="L12" s="36" t="e">
        <f t="shared" si="0"/>
        <v>#VALUE!</v>
      </c>
      <c r="M12" s="36"/>
      <c r="N12" s="36"/>
      <c r="O12" s="36" t="e">
        <f t="shared" si="1"/>
        <v>#VALUE!</v>
      </c>
      <c r="P12" s="36" t="e">
        <f t="shared" si="2"/>
        <v>#VALUE!</v>
      </c>
      <c r="Q12" s="36" t="e">
        <f t="shared" si="3"/>
        <v>#VALUE!</v>
      </c>
      <c r="R12" s="36"/>
      <c r="S12" s="37"/>
    </row>
    <row r="13" spans="1:21">
      <c r="A13">
        <f>Entry!B14</f>
        <v>442</v>
      </c>
      <c r="B13" s="1" t="s">
        <v>18</v>
      </c>
      <c r="C13" s="18">
        <f>Entry!C14</f>
        <v>42417.28125</v>
      </c>
      <c r="D13" s="40">
        <f>Entry!D14</f>
        <v>1.1131944444423425</v>
      </c>
      <c r="E13" s="32">
        <v>100</v>
      </c>
      <c r="F13" s="32">
        <v>10</v>
      </c>
      <c r="G13" s="44" t="str">
        <f>Entry!H14</f>
        <v>!=E14-IF(G14="h",$L$3,IF(G14="m",$L$4,IF(G14="l",$L$5,-99)))</v>
      </c>
      <c r="H13" s="44" t="str">
        <f>Entry!I14</f>
        <v>!=F14-IF(G14="h",$L$3,IF(G14="m",$L$4,IF(G14="l",$L$5,-99)))</v>
      </c>
      <c r="I13" s="43">
        <v>1</v>
      </c>
      <c r="J13" s="48">
        <f>Entry!$J$3</f>
        <v>1.9438</v>
      </c>
      <c r="K13" s="36" t="e">
        <f t="shared" si="4"/>
        <v>#VALUE!</v>
      </c>
      <c r="L13" s="36" t="e">
        <f t="shared" si="0"/>
        <v>#VALUE!</v>
      </c>
      <c r="M13" s="36" t="e">
        <f t="shared" si="5"/>
        <v>#VALUE!</v>
      </c>
      <c r="N13" s="36" t="e">
        <f t="shared" si="6"/>
        <v>#VALUE!</v>
      </c>
      <c r="O13" s="36" t="e">
        <f t="shared" si="1"/>
        <v>#VALUE!</v>
      </c>
      <c r="P13" s="36" t="e">
        <f t="shared" si="2"/>
        <v>#VALUE!</v>
      </c>
      <c r="Q13" s="36" t="e">
        <f t="shared" si="3"/>
        <v>#VALUE!</v>
      </c>
      <c r="R13" s="36" t="e">
        <f t="shared" si="7"/>
        <v>#VALUE!</v>
      </c>
      <c r="S13" s="37" t="e">
        <f t="shared" si="8"/>
        <v>#VALUE!</v>
      </c>
      <c r="T13" t="e">
        <f t="shared" si="9"/>
        <v>#VALUE!</v>
      </c>
      <c r="U13" t="e">
        <f t="shared" si="10"/>
        <v>#VALUE!</v>
      </c>
    </row>
    <row r="14" spans="1:21">
      <c r="A14">
        <f>Entry!B15</f>
        <v>443</v>
      </c>
      <c r="B14" s="1" t="s">
        <v>18</v>
      </c>
      <c r="C14" s="18">
        <f>Entry!C15</f>
        <v>42417.292361111111</v>
      </c>
      <c r="D14" s="40">
        <f>Entry!D15</f>
        <v>1.1243055555532919</v>
      </c>
      <c r="E14" s="32">
        <v>100</v>
      </c>
      <c r="F14" s="32">
        <v>10</v>
      </c>
      <c r="G14" s="44">
        <f>Entry!H15</f>
        <v>9.09</v>
      </c>
      <c r="H14" s="44">
        <f>Entry!I15</f>
        <v>5.21</v>
      </c>
      <c r="I14" s="43">
        <v>1</v>
      </c>
      <c r="J14" s="48">
        <f>Entry!$J$3</f>
        <v>1.9438</v>
      </c>
      <c r="K14" s="36">
        <f t="shared" si="4"/>
        <v>0.90900000000000003</v>
      </c>
      <c r="L14" s="36">
        <f t="shared" si="0"/>
        <v>1.744721689059501</v>
      </c>
      <c r="M14" s="36"/>
      <c r="N14" s="36"/>
      <c r="O14" s="36">
        <f t="shared" si="1"/>
        <v>0.75419440000000004</v>
      </c>
      <c r="P14" s="36">
        <f t="shared" si="2"/>
        <v>9.6490232000000259E-2</v>
      </c>
      <c r="Q14" s="36">
        <f t="shared" si="3"/>
        <v>0.85068463200000033</v>
      </c>
      <c r="R14" s="36"/>
      <c r="S14" s="37"/>
    </row>
    <row r="15" spans="1:21" ht="13" customHeight="1">
      <c r="A15">
        <f>Entry!B16</f>
        <v>444</v>
      </c>
      <c r="B15" s="1" t="s">
        <v>18</v>
      </c>
      <c r="C15" s="18">
        <f>Entry!C16</f>
        <v>42417.292361111111</v>
      </c>
      <c r="D15" s="40">
        <f>Entry!D16</f>
        <v>1.1243055555532919</v>
      </c>
      <c r="E15" s="32">
        <v>100</v>
      </c>
      <c r="F15" s="32">
        <v>10</v>
      </c>
      <c r="G15" s="44" t="str">
        <f>Entry!H16</f>
        <v>!=E16-IF(G16="h",$L$3,IF(G16="m",$L$4,IF(G16="l",$L$5,-99)))</v>
      </c>
      <c r="H15" s="44" t="str">
        <f>Entry!I16</f>
        <v>!=F16-IF(G16="h",$L$3,IF(G16="m",$L$4,IF(G16="l",$L$5,-99)))</v>
      </c>
      <c r="I15" s="43">
        <v>1</v>
      </c>
      <c r="J15" s="48">
        <f>Entry!$J$3</f>
        <v>1.9438</v>
      </c>
      <c r="K15" s="36" t="e">
        <f t="shared" si="4"/>
        <v>#VALUE!</v>
      </c>
      <c r="L15" s="36" t="e">
        <f t="shared" si="0"/>
        <v>#VALUE!</v>
      </c>
      <c r="M15" s="36"/>
      <c r="N15" s="36"/>
      <c r="O15" s="36" t="e">
        <f t="shared" si="1"/>
        <v>#VALUE!</v>
      </c>
      <c r="P15" s="36" t="e">
        <f t="shared" si="2"/>
        <v>#VALUE!</v>
      </c>
      <c r="Q15" s="36" t="e">
        <f t="shared" si="3"/>
        <v>#VALUE!</v>
      </c>
      <c r="R15" s="36"/>
      <c r="S15" s="37"/>
    </row>
    <row r="16" spans="1:21">
      <c r="A16">
        <f>Entry!B17</f>
        <v>445</v>
      </c>
      <c r="B16" s="1" t="s">
        <v>18</v>
      </c>
      <c r="C16" s="18">
        <f>Entry!C17</f>
        <v>42417.292361111111</v>
      </c>
      <c r="D16" s="40">
        <f>Entry!D17</f>
        <v>1.1243055555532919</v>
      </c>
      <c r="E16" s="32">
        <v>100</v>
      </c>
      <c r="F16" s="32">
        <v>10</v>
      </c>
      <c r="G16" s="44" t="str">
        <f>Entry!H17</f>
        <v>!=E17-IF(G17="h",$L$3,IF(G17="m",$L$4,IF(G17="l",$L$5,-99)))</v>
      </c>
      <c r="H16" s="44" t="str">
        <f>Entry!I17</f>
        <v>!=F17-IF(G17="h",$L$3,IF(G17="m",$L$4,IF(G17="l",$L$5,-99)))</v>
      </c>
      <c r="I16" s="43">
        <v>1</v>
      </c>
      <c r="J16" s="48">
        <f>Entry!$J$3</f>
        <v>1.9438</v>
      </c>
      <c r="K16" s="36" t="e">
        <f t="shared" si="4"/>
        <v>#VALUE!</v>
      </c>
      <c r="L16" s="36" t="e">
        <f t="shared" si="0"/>
        <v>#VALUE!</v>
      </c>
      <c r="M16" s="36" t="e">
        <f t="shared" si="5"/>
        <v>#VALUE!</v>
      </c>
      <c r="N16" s="36" t="e">
        <f t="shared" si="6"/>
        <v>#VALUE!</v>
      </c>
      <c r="O16" s="36" t="e">
        <f t="shared" si="1"/>
        <v>#VALUE!</v>
      </c>
      <c r="P16" s="36" t="e">
        <f t="shared" si="2"/>
        <v>#VALUE!</v>
      </c>
      <c r="Q16" s="36" t="e">
        <f t="shared" si="3"/>
        <v>#VALUE!</v>
      </c>
      <c r="R16" s="36" t="e">
        <f t="shared" si="7"/>
        <v>#VALUE!</v>
      </c>
      <c r="S16" s="37" t="e">
        <f t="shared" si="8"/>
        <v>#VALUE!</v>
      </c>
      <c r="T16" t="e">
        <f t="shared" si="9"/>
        <v>#VALUE!</v>
      </c>
      <c r="U16" t="e">
        <f t="shared" si="10"/>
        <v>#VALUE!</v>
      </c>
    </row>
    <row r="17" spans="1:21">
      <c r="A17">
        <f>Entry!B18</f>
        <v>446</v>
      </c>
      <c r="B17" s="1" t="s">
        <v>18</v>
      </c>
      <c r="C17" s="18">
        <f>Entry!C18</f>
        <v>42417.300694444442</v>
      </c>
      <c r="D17" s="40">
        <f>Entry!D18</f>
        <v>1.132638888884685</v>
      </c>
      <c r="E17" s="32">
        <v>100</v>
      </c>
      <c r="F17" s="32">
        <v>10</v>
      </c>
      <c r="G17" s="44" t="str">
        <f>Entry!H18</f>
        <v>1=E18-IF(G18="h",$L$3,IF(G18="m",$L$4,IF(G18="l",$L$5,-99)))</v>
      </c>
      <c r="H17" s="44" t="str">
        <f>Entry!I18</f>
        <v>!=F18-IF(G18="h",$L$3,IF(G18="m",$L$4,IF(G18="l",$L$5,-99)))</v>
      </c>
      <c r="I17" s="43">
        <v>1</v>
      </c>
      <c r="J17" s="48">
        <f>Entry!$J$3</f>
        <v>1.9438</v>
      </c>
      <c r="K17" s="36" t="e">
        <f t="shared" si="4"/>
        <v>#VALUE!</v>
      </c>
      <c r="L17" s="36" t="e">
        <f t="shared" si="0"/>
        <v>#VALUE!</v>
      </c>
      <c r="M17" s="36"/>
      <c r="N17" s="36"/>
      <c r="O17" s="36" t="e">
        <f t="shared" si="1"/>
        <v>#VALUE!</v>
      </c>
      <c r="P17" s="36" t="e">
        <f t="shared" si="2"/>
        <v>#VALUE!</v>
      </c>
      <c r="Q17" s="36" t="e">
        <f t="shared" si="3"/>
        <v>#VALUE!</v>
      </c>
      <c r="R17" s="36"/>
      <c r="S17" s="37"/>
    </row>
    <row r="18" spans="1:21">
      <c r="A18">
        <f>Entry!B19</f>
        <v>447</v>
      </c>
      <c r="B18" s="1" t="s">
        <v>18</v>
      </c>
      <c r="C18" s="18">
        <f>Entry!C19</f>
        <v>42417.300694444442</v>
      </c>
      <c r="D18" s="40">
        <f>Entry!D19</f>
        <v>1.132638888884685</v>
      </c>
      <c r="E18" s="32">
        <v>100</v>
      </c>
      <c r="F18" s="32">
        <v>10</v>
      </c>
      <c r="G18" s="44" t="str">
        <f>Entry!H19</f>
        <v>!=E19-IF(G19="h",$L$3,IF(G19="m",$L$4,IF(G19="l",$L$5,-99)))</v>
      </c>
      <c r="H18" s="44" t="str">
        <f>Entry!I19</f>
        <v>!=F19-IF(G19="h",$L$3,IF(G19="m",$L$4,IF(G19="l",$L$5,-99)))</v>
      </c>
      <c r="I18" s="43">
        <v>1</v>
      </c>
      <c r="J18" s="48">
        <f>Entry!$J$3</f>
        <v>1.9438</v>
      </c>
      <c r="K18" s="36" t="e">
        <f t="shared" si="4"/>
        <v>#VALUE!</v>
      </c>
      <c r="L18" s="36" t="e">
        <f t="shared" si="0"/>
        <v>#VALUE!</v>
      </c>
      <c r="M18" s="36"/>
      <c r="N18" s="36"/>
      <c r="O18" s="36" t="e">
        <f t="shared" si="1"/>
        <v>#VALUE!</v>
      </c>
      <c r="P18" s="36" t="e">
        <f t="shared" si="2"/>
        <v>#VALUE!</v>
      </c>
      <c r="Q18" s="36" t="e">
        <f t="shared" si="3"/>
        <v>#VALUE!</v>
      </c>
      <c r="R18" s="36"/>
      <c r="S18" s="37"/>
    </row>
    <row r="19" spans="1:21">
      <c r="A19">
        <f>Entry!B20</f>
        <v>448</v>
      </c>
      <c r="B19" s="1" t="s">
        <v>18</v>
      </c>
      <c r="C19" s="18">
        <f>Entry!C20</f>
        <v>42417.300694444442</v>
      </c>
      <c r="D19" s="40">
        <f>Entry!D20</f>
        <v>1.132638888884685</v>
      </c>
      <c r="E19" s="32">
        <v>100</v>
      </c>
      <c r="F19" s="32">
        <v>10</v>
      </c>
      <c r="G19" s="44" t="str">
        <f>Entry!H20</f>
        <v>!=E20-IF(G20="h",$L$3,IF(G20="m",$L$4,IF(G20="l",$L$5,-99)))</v>
      </c>
      <c r="H19" s="44" t="str">
        <f>Entry!I20</f>
        <v>!=F20-IF(G20="h",$L$3,IF(G20="m",$L$4,IF(G20="l",$L$5,-99)))</v>
      </c>
      <c r="I19" s="43">
        <v>1</v>
      </c>
      <c r="J19" s="48">
        <f>Entry!$J$3</f>
        <v>1.9438</v>
      </c>
      <c r="K19" s="36" t="e">
        <f t="shared" si="4"/>
        <v>#VALUE!</v>
      </c>
      <c r="L19" s="36" t="e">
        <f t="shared" si="0"/>
        <v>#VALUE!</v>
      </c>
      <c r="M19" s="36" t="e">
        <f t="shared" si="5"/>
        <v>#VALUE!</v>
      </c>
      <c r="N19" s="36" t="e">
        <f t="shared" si="6"/>
        <v>#VALUE!</v>
      </c>
      <c r="O19" s="36" t="e">
        <f t="shared" si="1"/>
        <v>#VALUE!</v>
      </c>
      <c r="P19" s="36" t="e">
        <f t="shared" si="2"/>
        <v>#VALUE!</v>
      </c>
      <c r="Q19" s="36" t="e">
        <f t="shared" si="3"/>
        <v>#VALUE!</v>
      </c>
      <c r="R19" s="36" t="e">
        <f t="shared" si="7"/>
        <v>#VALUE!</v>
      </c>
      <c r="S19" s="37" t="e">
        <f t="shared" si="8"/>
        <v>#VALUE!</v>
      </c>
      <c r="T19" t="e">
        <f t="shared" si="9"/>
        <v>#VALUE!</v>
      </c>
      <c r="U19" t="e">
        <f t="shared" si="10"/>
        <v>#VALUE!</v>
      </c>
    </row>
    <row r="20" spans="1:21">
      <c r="A20">
        <f>Entry!B21</f>
        <v>449</v>
      </c>
      <c r="B20" s="1" t="s">
        <v>18</v>
      </c>
      <c r="C20" s="18">
        <f>Entry!C21</f>
        <v>42417.306250000001</v>
      </c>
      <c r="D20" s="40">
        <f>Entry!D21</f>
        <v>1.1381944444437977</v>
      </c>
      <c r="E20" s="32">
        <v>100</v>
      </c>
      <c r="F20" s="32">
        <v>10</v>
      </c>
      <c r="G20" s="44" t="str">
        <f>Entry!H21</f>
        <v>!=E21-IF(G21="h",$L$3,IF(G21="m",$L$4,IF(G21="l",$L$5,-99)))</v>
      </c>
      <c r="H20" s="44" t="str">
        <f>Entry!I21</f>
        <v>!=F21-IF(G21="h",$L$3,IF(G21="m",$L$4,IF(G21="l",$L$5,-99)))</v>
      </c>
      <c r="I20" s="43">
        <v>1</v>
      </c>
      <c r="J20" s="48">
        <f>Entry!$J$3</f>
        <v>1.9438</v>
      </c>
      <c r="K20" s="36" t="e">
        <f t="shared" si="4"/>
        <v>#VALUE!</v>
      </c>
      <c r="L20" s="36" t="e">
        <f t="shared" si="0"/>
        <v>#VALUE!</v>
      </c>
      <c r="M20" s="36"/>
      <c r="N20" s="36"/>
      <c r="O20" s="36" t="e">
        <f t="shared" si="1"/>
        <v>#VALUE!</v>
      </c>
      <c r="P20" s="36" t="e">
        <f t="shared" si="2"/>
        <v>#VALUE!</v>
      </c>
      <c r="Q20" s="36" t="e">
        <f t="shared" si="3"/>
        <v>#VALUE!</v>
      </c>
      <c r="R20" s="36"/>
      <c r="S20" s="37"/>
    </row>
    <row r="21" spans="1:21">
      <c r="A21">
        <f>Entry!B22</f>
        <v>450</v>
      </c>
      <c r="B21" s="1" t="s">
        <v>18</v>
      </c>
      <c r="C21" s="18">
        <f>Entry!C22</f>
        <v>42417.306250000001</v>
      </c>
      <c r="D21" s="40">
        <f>Entry!D22</f>
        <v>1.1381944444437977</v>
      </c>
      <c r="E21" s="32">
        <v>100</v>
      </c>
      <c r="F21" s="32">
        <v>10</v>
      </c>
      <c r="G21" s="44" t="str">
        <f>Entry!H22</f>
        <v>!=E22-IF(G22="h",$L$3,IF(G22="m",$L$4,IF(G22="l",$L$5,-99)))</v>
      </c>
      <c r="H21" s="44" t="str">
        <f>Entry!I22</f>
        <v>!=F22-IF(G22="h",$L$3,IF(G22="m",$L$4,IF(G22="l",$L$5,-99)))</v>
      </c>
      <c r="I21" s="43">
        <v>1</v>
      </c>
      <c r="J21" s="48">
        <f>Entry!$J$3</f>
        <v>1.9438</v>
      </c>
      <c r="K21" s="36" t="e">
        <f t="shared" si="4"/>
        <v>#VALUE!</v>
      </c>
      <c r="L21" s="36" t="e">
        <f t="shared" si="0"/>
        <v>#VALUE!</v>
      </c>
      <c r="M21" s="36"/>
      <c r="N21" s="36"/>
      <c r="O21" s="36" t="e">
        <f t="shared" si="1"/>
        <v>#VALUE!</v>
      </c>
      <c r="P21" s="36" t="e">
        <f t="shared" si="2"/>
        <v>#VALUE!</v>
      </c>
      <c r="Q21" s="36" t="e">
        <f t="shared" si="3"/>
        <v>#VALUE!</v>
      </c>
      <c r="R21" s="36"/>
      <c r="S21" s="37"/>
    </row>
    <row r="22" spans="1:21">
      <c r="A22">
        <f>Entry!B23</f>
        <v>451</v>
      </c>
      <c r="B22" s="1" t="s">
        <v>18</v>
      </c>
      <c r="C22" s="18">
        <f>Entry!C23</f>
        <v>42417.306250000001</v>
      </c>
      <c r="D22" s="40">
        <f>Entry!D23</f>
        <v>1.1381944444437977</v>
      </c>
      <c r="E22" s="32">
        <v>100</v>
      </c>
      <c r="F22" s="32">
        <v>10</v>
      </c>
      <c r="G22" s="44" t="str">
        <f>Entry!H23</f>
        <v>!=E23-IF(G23="h",$L$3,IF(G23="m",$L$4,IF(G23="l",$L$5,-99)))</v>
      </c>
      <c r="H22" s="44" t="str">
        <f>Entry!I23</f>
        <v>!=F23-IF(G23="h",$L$3,IF(G23="m",$L$4,IF(G23="l",$L$5,-99)))</v>
      </c>
      <c r="I22" s="43">
        <v>1</v>
      </c>
      <c r="J22" s="48">
        <f>Entry!$J$3</f>
        <v>1.9438</v>
      </c>
      <c r="K22" s="36" t="e">
        <f t="shared" si="4"/>
        <v>#VALUE!</v>
      </c>
      <c r="L22" s="36" t="e">
        <f t="shared" si="0"/>
        <v>#VALUE!</v>
      </c>
      <c r="M22" s="36" t="e">
        <f t="shared" si="5"/>
        <v>#VALUE!</v>
      </c>
      <c r="N22" s="36" t="e">
        <f t="shared" si="6"/>
        <v>#VALUE!</v>
      </c>
      <c r="O22" s="36" t="e">
        <f t="shared" si="1"/>
        <v>#VALUE!</v>
      </c>
      <c r="P22" s="36" t="e">
        <f t="shared" si="2"/>
        <v>#VALUE!</v>
      </c>
      <c r="Q22" s="36" t="e">
        <f t="shared" si="3"/>
        <v>#VALUE!</v>
      </c>
      <c r="R22" s="36" t="e">
        <f t="shared" si="7"/>
        <v>#VALUE!</v>
      </c>
      <c r="S22" s="37" t="e">
        <f t="shared" si="8"/>
        <v>#VALUE!</v>
      </c>
      <c r="T22" t="e">
        <f t="shared" si="9"/>
        <v>#VALUE!</v>
      </c>
      <c r="U22" t="e">
        <f t="shared" si="10"/>
        <v>#VALUE!</v>
      </c>
    </row>
    <row r="23" spans="1:21">
      <c r="A23">
        <f>Entry!B24</f>
        <v>452</v>
      </c>
      <c r="B23" s="1" t="s">
        <v>18</v>
      </c>
      <c r="C23" s="18">
        <f>Entry!C24</f>
        <v>42417.313194444447</v>
      </c>
      <c r="D23" s="40">
        <f>Entry!D24</f>
        <v>1.1451388888890506</v>
      </c>
      <c r="E23" s="32">
        <v>100</v>
      </c>
      <c r="F23" s="32">
        <v>10</v>
      </c>
      <c r="G23" s="44" t="str">
        <f>Entry!H24</f>
        <v>!=E24-IF(G24="h",$L$3,IF(G24="m",$L$4,IF(G24="l",$L$5,-99)))</v>
      </c>
      <c r="H23" s="44" t="str">
        <f>Entry!I24</f>
        <v>!=F24-IF(G24="h",$L$3,IF(G24="m",$L$4,IF(G24="l",$L$5,-99)))</v>
      </c>
      <c r="I23" s="43">
        <v>1</v>
      </c>
      <c r="J23" s="48">
        <f>Entry!$J$3</f>
        <v>1.9438</v>
      </c>
      <c r="K23" s="36" t="e">
        <f t="shared" si="4"/>
        <v>#VALUE!</v>
      </c>
      <c r="L23" s="36" t="e">
        <f t="shared" si="0"/>
        <v>#VALUE!</v>
      </c>
      <c r="M23" s="36"/>
      <c r="N23" s="36"/>
      <c r="O23" s="36" t="e">
        <f t="shared" si="1"/>
        <v>#VALUE!</v>
      </c>
      <c r="P23" s="36" t="e">
        <f t="shared" si="2"/>
        <v>#VALUE!</v>
      </c>
      <c r="Q23" s="36" t="e">
        <f t="shared" si="3"/>
        <v>#VALUE!</v>
      </c>
      <c r="R23" s="36"/>
      <c r="S23" s="37"/>
    </row>
    <row r="24" spans="1:21" ht="13" customHeight="1">
      <c r="A24">
        <f>Entry!B25</f>
        <v>453</v>
      </c>
      <c r="B24" s="1" t="s">
        <v>18</v>
      </c>
      <c r="C24" s="18">
        <f>Entry!C25</f>
        <v>42417.313194444447</v>
      </c>
      <c r="D24" s="40">
        <f>Entry!D25</f>
        <v>1.1451388888890506</v>
      </c>
      <c r="E24" s="32">
        <v>100</v>
      </c>
      <c r="F24" s="32">
        <v>10</v>
      </c>
      <c r="G24" s="44" t="str">
        <f>Entry!H25</f>
        <v>!=E25-IF(G25="h",$L$3,IF(G25="m",$L$4,IF(G25="l",$L$5,-99)))</v>
      </c>
      <c r="H24" s="44" t="str">
        <f>Entry!I25</f>
        <v>!=F25-IF(G25="h",$L$3,IF(G25="m",$L$4,IF(G25="l",$L$5,-99)))</v>
      </c>
      <c r="I24" s="43">
        <v>1</v>
      </c>
      <c r="J24" s="48">
        <f>Entry!$J$3</f>
        <v>1.9438</v>
      </c>
      <c r="K24" s="36" t="e">
        <f t="shared" si="4"/>
        <v>#VALUE!</v>
      </c>
      <c r="L24" s="36" t="e">
        <f t="shared" si="0"/>
        <v>#VALUE!</v>
      </c>
      <c r="M24" s="36"/>
      <c r="N24" s="36"/>
      <c r="O24" s="36" t="e">
        <f t="shared" si="1"/>
        <v>#VALUE!</v>
      </c>
      <c r="P24" s="36" t="e">
        <f t="shared" si="2"/>
        <v>#VALUE!</v>
      </c>
      <c r="Q24" s="36" t="e">
        <f t="shared" si="3"/>
        <v>#VALUE!</v>
      </c>
      <c r="R24" s="36"/>
      <c r="S24" s="37"/>
    </row>
    <row r="25" spans="1:21">
      <c r="A25">
        <f>Entry!B26</f>
        <v>454</v>
      </c>
      <c r="B25" s="1" t="s">
        <v>18</v>
      </c>
      <c r="C25" s="18">
        <f>Entry!C26</f>
        <v>42417.313194444447</v>
      </c>
      <c r="D25" s="40">
        <f>Entry!D26</f>
        <v>1.1451388888890506</v>
      </c>
      <c r="E25" s="32">
        <v>100</v>
      </c>
      <c r="F25" s="32">
        <v>10</v>
      </c>
      <c r="G25" s="44">
        <f>Entry!H26</f>
        <v>9.51</v>
      </c>
      <c r="H25" s="44">
        <f>Entry!I26</f>
        <v>5.4300000000000006</v>
      </c>
      <c r="I25" s="43">
        <v>1</v>
      </c>
      <c r="J25" s="48">
        <f>Entry!$J$3</f>
        <v>1.9438</v>
      </c>
      <c r="K25" s="36">
        <f t="shared" si="4"/>
        <v>0.95100000000000007</v>
      </c>
      <c r="L25" s="36">
        <f t="shared" si="0"/>
        <v>1.7513812154696131</v>
      </c>
      <c r="M25" s="36" t="e">
        <f t="shared" si="5"/>
        <v>#VALUE!</v>
      </c>
      <c r="N25" s="36" t="e">
        <f t="shared" si="6"/>
        <v>#VALUE!</v>
      </c>
      <c r="O25" s="36">
        <f t="shared" si="1"/>
        <v>0.79307039999999995</v>
      </c>
      <c r="P25" s="36">
        <f t="shared" si="2"/>
        <v>9.3535656000000245E-2</v>
      </c>
      <c r="Q25" s="36">
        <f t="shared" si="3"/>
        <v>0.8866060560000002</v>
      </c>
      <c r="R25" s="36" t="e">
        <f t="shared" si="7"/>
        <v>#VALUE!</v>
      </c>
      <c r="S25" s="37" t="e">
        <f t="shared" si="8"/>
        <v>#VALUE!</v>
      </c>
      <c r="T25" t="e">
        <f t="shared" si="9"/>
        <v>#VALUE!</v>
      </c>
      <c r="U25" t="e">
        <f t="shared" si="10"/>
        <v>#VALUE!</v>
      </c>
    </row>
    <row r="26" spans="1:21">
      <c r="A26">
        <f>Entry!B27</f>
        <v>498</v>
      </c>
      <c r="B26" s="1" t="s">
        <v>18</v>
      </c>
      <c r="C26" s="18">
        <f>Entry!C27</f>
        <v>42418.6875</v>
      </c>
      <c r="D26" s="40">
        <f>Entry!D27</f>
        <v>2.5194444444423425</v>
      </c>
      <c r="E26" s="32">
        <v>100</v>
      </c>
      <c r="F26" s="32">
        <v>10</v>
      </c>
      <c r="G26" s="44">
        <f>Entry!H27</f>
        <v>14.4</v>
      </c>
      <c r="H26" s="44">
        <f>Entry!I27</f>
        <v>8.2899999999999991</v>
      </c>
      <c r="I26" s="43">
        <v>1</v>
      </c>
      <c r="J26" s="48">
        <f>Entry!$J$3</f>
        <v>1.9438</v>
      </c>
      <c r="K26" s="36">
        <f t="shared" si="4"/>
        <v>1.4400000000000002</v>
      </c>
      <c r="L26" s="36">
        <f t="shared" si="0"/>
        <v>1.7370325693606756</v>
      </c>
      <c r="M26" s="36"/>
      <c r="N26" s="36"/>
      <c r="O26" s="36">
        <f t="shared" si="1"/>
        <v>1.1876618000000003</v>
      </c>
      <c r="P26" s="36">
        <f t="shared" si="2"/>
        <v>0.16592276799999969</v>
      </c>
      <c r="Q26" s="36">
        <f t="shared" si="3"/>
        <v>1.353584568</v>
      </c>
      <c r="R26" s="36"/>
      <c r="S26" s="37"/>
    </row>
    <row r="27" spans="1:21">
      <c r="A27">
        <f>Entry!B28</f>
        <v>499</v>
      </c>
      <c r="B27" s="1" t="s">
        <v>18</v>
      </c>
      <c r="C27" s="18">
        <f>Entry!C28</f>
        <v>42418.6875</v>
      </c>
      <c r="D27" s="40">
        <f>Entry!D28</f>
        <v>2.5194444444423425</v>
      </c>
      <c r="E27" s="32">
        <v>100</v>
      </c>
      <c r="F27" s="32">
        <v>10</v>
      </c>
      <c r="G27" s="44">
        <f>Entry!H28</f>
        <v>14.1</v>
      </c>
      <c r="H27" s="44">
        <f>Entry!I28</f>
        <v>8.15</v>
      </c>
      <c r="I27" s="43">
        <v>1</v>
      </c>
      <c r="J27" s="48">
        <f>Entry!$J$3</f>
        <v>1.9438</v>
      </c>
      <c r="K27" s="36">
        <f t="shared" si="4"/>
        <v>1.4100000000000001</v>
      </c>
      <c r="L27" s="36">
        <f t="shared" si="0"/>
        <v>1.7300613496932513</v>
      </c>
      <c r="M27" s="36"/>
      <c r="N27" s="36"/>
      <c r="O27" s="36">
        <f t="shared" si="1"/>
        <v>1.1565609999999997</v>
      </c>
      <c r="P27" s="36">
        <f t="shared" si="2"/>
        <v>0.17416448000000018</v>
      </c>
      <c r="Q27" s="36">
        <f t="shared" si="3"/>
        <v>1.3307254799999999</v>
      </c>
      <c r="R27" s="36"/>
      <c r="S27" s="37"/>
    </row>
    <row r="28" spans="1:21">
      <c r="A28">
        <f>Entry!B29</f>
        <v>500</v>
      </c>
      <c r="B28" s="1" t="s">
        <v>18</v>
      </c>
      <c r="C28" s="18">
        <f>Entry!C29</f>
        <v>42418.6875</v>
      </c>
      <c r="D28" s="40">
        <f>Entry!D29</f>
        <v>2.5194444444423425</v>
      </c>
      <c r="E28" s="32">
        <v>100</v>
      </c>
      <c r="F28" s="32">
        <v>10</v>
      </c>
      <c r="G28" s="44">
        <f>Entry!H29</f>
        <v>14.2</v>
      </c>
      <c r="H28" s="44">
        <f>Entry!I29</f>
        <v>8.15</v>
      </c>
      <c r="I28" s="43">
        <v>1</v>
      </c>
      <c r="J28" s="48">
        <f>Entry!$J$3</f>
        <v>1.9438</v>
      </c>
      <c r="K28" s="36">
        <f t="shared" si="4"/>
        <v>1.42</v>
      </c>
      <c r="L28" s="36">
        <f t="shared" si="0"/>
        <v>1.7423312883435582</v>
      </c>
      <c r="M28" s="36">
        <f t="shared" si="5"/>
        <v>1.4233333333333336</v>
      </c>
      <c r="N28" s="36">
        <f t="shared" si="6"/>
        <v>1.7364750691324951</v>
      </c>
      <c r="O28" s="36">
        <f t="shared" si="1"/>
        <v>1.1759989999999998</v>
      </c>
      <c r="P28" s="36">
        <f t="shared" si="2"/>
        <v>0.15472648000000022</v>
      </c>
      <c r="Q28" s="36">
        <f t="shared" si="3"/>
        <v>1.3307254799999999</v>
      </c>
      <c r="R28" s="36">
        <f t="shared" si="7"/>
        <v>1.1734072666666666</v>
      </c>
      <c r="S28" s="37">
        <f t="shared" si="8"/>
        <v>0.16493790933333338</v>
      </c>
      <c r="T28">
        <f t="shared" si="9"/>
        <v>1.338345176</v>
      </c>
      <c r="U28">
        <f t="shared" si="10"/>
        <v>1.57115483455114E-2</v>
      </c>
    </row>
    <row r="29" spans="1:21">
      <c r="A29">
        <f>Entry!B30</f>
        <v>501</v>
      </c>
      <c r="B29" s="1" t="s">
        <v>18</v>
      </c>
      <c r="C29" s="18">
        <f>Entry!C30</f>
        <v>42418.726388888892</v>
      </c>
      <c r="D29" s="40">
        <f>Entry!D30</f>
        <v>2.5583333333343035</v>
      </c>
      <c r="E29" s="32">
        <v>100</v>
      </c>
      <c r="F29" s="32">
        <v>10</v>
      </c>
      <c r="G29" s="44">
        <f>Entry!H30</f>
        <v>14</v>
      </c>
      <c r="H29" s="44">
        <f>Entry!I30</f>
        <v>8.09</v>
      </c>
      <c r="I29" s="43">
        <v>1</v>
      </c>
      <c r="J29" s="48">
        <f>Entry!$J$3</f>
        <v>1.9438</v>
      </c>
      <c r="K29" s="36">
        <f t="shared" si="4"/>
        <v>1.4000000000000001</v>
      </c>
      <c r="L29" s="36">
        <f t="shared" si="0"/>
        <v>1.73053152039555</v>
      </c>
      <c r="M29" s="36"/>
      <c r="N29" s="36"/>
      <c r="O29" s="36">
        <f t="shared" si="1"/>
        <v>1.1487858</v>
      </c>
      <c r="P29" s="36">
        <f t="shared" si="2"/>
        <v>0.17214292800000006</v>
      </c>
      <c r="Q29" s="36">
        <f t="shared" si="3"/>
        <v>1.3209287279999999</v>
      </c>
      <c r="R29" s="36"/>
      <c r="S29" s="37"/>
    </row>
    <row r="30" spans="1:21">
      <c r="A30">
        <f>Entry!B31</f>
        <v>502</v>
      </c>
      <c r="B30" s="1" t="s">
        <v>18</v>
      </c>
      <c r="C30" s="18">
        <f>Entry!C31</f>
        <v>42418.726388888892</v>
      </c>
      <c r="D30" s="40">
        <f>Entry!D31</f>
        <v>2.5583333333343035</v>
      </c>
      <c r="E30" s="32">
        <v>100</v>
      </c>
      <c r="F30" s="32">
        <v>10</v>
      </c>
      <c r="G30" s="44" t="str">
        <f>Entry!H31</f>
        <v>!=E31-IF(G31="h",$L$11,IF(G31="m",$L$12,IF(G31="l",$L$13,-99)))</v>
      </c>
      <c r="H30" s="44" t="str">
        <f>Entry!I31</f>
        <v>!=F31-IF(G31="h",$L$11,IF(G31="m",$L$12,IF(G31="l",$L$13,-99)))</v>
      </c>
      <c r="I30" s="43">
        <v>1</v>
      </c>
      <c r="J30" s="48">
        <f>Entry!$J$3</f>
        <v>1.9438</v>
      </c>
      <c r="K30" s="36" t="e">
        <f t="shared" si="4"/>
        <v>#VALUE!</v>
      </c>
      <c r="L30" s="36" t="e">
        <f t="shared" si="0"/>
        <v>#VALUE!</v>
      </c>
      <c r="M30" s="36"/>
      <c r="N30" s="36"/>
      <c r="O30" s="36" t="e">
        <f t="shared" si="1"/>
        <v>#VALUE!</v>
      </c>
      <c r="P30" s="36" t="e">
        <f t="shared" si="2"/>
        <v>#VALUE!</v>
      </c>
      <c r="Q30" s="36" t="e">
        <f t="shared" si="3"/>
        <v>#VALUE!</v>
      </c>
      <c r="R30" s="36"/>
      <c r="S30" s="37"/>
    </row>
    <row r="31" spans="1:21">
      <c r="A31">
        <f>Entry!B32</f>
        <v>503</v>
      </c>
      <c r="B31" s="1" t="s">
        <v>18</v>
      </c>
      <c r="C31" s="18">
        <f>Entry!C32</f>
        <v>42418.726388888892</v>
      </c>
      <c r="D31" s="40">
        <f>Entry!D32</f>
        <v>2.5583333333343035</v>
      </c>
      <c r="E31" s="32">
        <v>100</v>
      </c>
      <c r="F31" s="32">
        <v>10</v>
      </c>
      <c r="G31" s="44">
        <f>Entry!H32</f>
        <v>16</v>
      </c>
      <c r="H31" s="44">
        <f>Entry!I32</f>
        <v>9.15</v>
      </c>
      <c r="I31" s="43">
        <v>1</v>
      </c>
      <c r="J31" s="48">
        <f>Entry!$J$3</f>
        <v>1.9438</v>
      </c>
      <c r="K31" s="36">
        <f t="shared" si="4"/>
        <v>1.6</v>
      </c>
      <c r="L31" s="36">
        <f t="shared" si="0"/>
        <v>1.7486338797814207</v>
      </c>
      <c r="M31" s="36" t="e">
        <f t="shared" si="5"/>
        <v>#VALUE!</v>
      </c>
      <c r="N31" s="36" t="e">
        <f t="shared" si="6"/>
        <v>#VALUE!</v>
      </c>
      <c r="O31" s="36">
        <f t="shared" si="1"/>
        <v>1.3315029999999999</v>
      </c>
      <c r="P31" s="36">
        <f t="shared" si="2"/>
        <v>0.16250168000000043</v>
      </c>
      <c r="Q31" s="36">
        <f t="shared" si="3"/>
        <v>1.4940046800000002</v>
      </c>
      <c r="R31" s="36" t="e">
        <f t="shared" si="7"/>
        <v>#VALUE!</v>
      </c>
      <c r="S31" s="37" t="e">
        <f t="shared" si="8"/>
        <v>#VALUE!</v>
      </c>
      <c r="T31" t="e">
        <f t="shared" si="9"/>
        <v>#VALUE!</v>
      </c>
      <c r="U31" t="e">
        <f t="shared" si="10"/>
        <v>#VALUE!</v>
      </c>
    </row>
    <row r="32" spans="1:21">
      <c r="A32">
        <f>Entry!B33</f>
        <v>504</v>
      </c>
      <c r="B32" s="1" t="s">
        <v>18</v>
      </c>
      <c r="C32" s="18">
        <f>Entry!C33</f>
        <v>42418.743055555555</v>
      </c>
      <c r="D32" s="40">
        <f>Entry!D33</f>
        <v>2.5749999999970896</v>
      </c>
      <c r="E32" s="32">
        <v>100</v>
      </c>
      <c r="F32" s="32">
        <v>10</v>
      </c>
      <c r="G32" s="44">
        <f>Entry!H33</f>
        <v>18.700000000000003</v>
      </c>
      <c r="H32" s="44">
        <f>Entry!I33</f>
        <v>10.799999999999999</v>
      </c>
      <c r="I32" s="43">
        <v>1</v>
      </c>
      <c r="J32" s="48">
        <f>Entry!$J$3</f>
        <v>1.9438</v>
      </c>
      <c r="K32" s="36">
        <f t="shared" si="4"/>
        <v>1.8700000000000003</v>
      </c>
      <c r="L32" s="36">
        <f t="shared" si="0"/>
        <v>1.7314814814814818</v>
      </c>
      <c r="M32" s="36"/>
      <c r="N32" s="36"/>
      <c r="O32" s="36">
        <f t="shared" si="1"/>
        <v>1.5356020000000008</v>
      </c>
      <c r="P32" s="36">
        <f t="shared" si="2"/>
        <v>0.22781335999999941</v>
      </c>
      <c r="Q32" s="36">
        <f t="shared" si="3"/>
        <v>1.7634153600000002</v>
      </c>
      <c r="R32" s="36"/>
      <c r="S32" s="37"/>
    </row>
    <row r="33" spans="1:21">
      <c r="A33">
        <f>Entry!B34</f>
        <v>505</v>
      </c>
      <c r="B33" s="1" t="s">
        <v>18</v>
      </c>
      <c r="C33" s="18">
        <f>Entry!C34</f>
        <v>42418.743055555555</v>
      </c>
      <c r="D33" s="40">
        <f>Entry!D34</f>
        <v>2.5749999999970896</v>
      </c>
      <c r="E33" s="32">
        <v>100</v>
      </c>
      <c r="F33" s="32">
        <v>10</v>
      </c>
      <c r="G33" s="44">
        <f>Entry!H34</f>
        <v>17.700000000000003</v>
      </c>
      <c r="H33" s="44">
        <f>Entry!I34</f>
        <v>10.199999999999999</v>
      </c>
      <c r="I33" s="43">
        <v>1</v>
      </c>
      <c r="J33" s="48">
        <f>Entry!$J$3</f>
        <v>1.9438</v>
      </c>
      <c r="K33" s="36">
        <f t="shared" si="4"/>
        <v>1.7700000000000005</v>
      </c>
      <c r="L33" s="36">
        <f t="shared" si="0"/>
        <v>1.7352941176470593</v>
      </c>
      <c r="M33" s="36"/>
      <c r="N33" s="36"/>
      <c r="O33" s="36">
        <f t="shared" si="1"/>
        <v>1.4578500000000008</v>
      </c>
      <c r="P33" s="36">
        <f t="shared" si="2"/>
        <v>0.20759783999999959</v>
      </c>
      <c r="Q33" s="36">
        <f t="shared" si="3"/>
        <v>1.6654478400000003</v>
      </c>
      <c r="R33" s="36"/>
      <c r="S33" s="37"/>
    </row>
    <row r="34" spans="1:21">
      <c r="A34">
        <f>Entry!B35</f>
        <v>506</v>
      </c>
      <c r="B34" s="1" t="s">
        <v>18</v>
      </c>
      <c r="C34" s="18">
        <f>Entry!C35</f>
        <v>42418.743055555555</v>
      </c>
      <c r="D34" s="40">
        <f>Entry!D35</f>
        <v>2.5749999999970896</v>
      </c>
      <c r="E34" s="32">
        <v>100</v>
      </c>
      <c r="F34" s="32">
        <v>10</v>
      </c>
      <c r="G34" s="44">
        <f>Entry!H35</f>
        <v>16.3</v>
      </c>
      <c r="H34" s="44">
        <f>Entry!I35</f>
        <v>9.35</v>
      </c>
      <c r="I34" s="43">
        <v>1</v>
      </c>
      <c r="J34" s="48">
        <f>Entry!$J$3</f>
        <v>1.9438</v>
      </c>
      <c r="K34" s="36">
        <f t="shared" si="4"/>
        <v>1.6300000000000001</v>
      </c>
      <c r="L34" s="36">
        <f t="shared" si="0"/>
        <v>1.7433155080213905</v>
      </c>
      <c r="M34" s="36">
        <f t="shared" si="5"/>
        <v>1.7566666666666668</v>
      </c>
      <c r="N34" s="36">
        <f t="shared" si="6"/>
        <v>1.736697035716644</v>
      </c>
      <c r="O34" s="36">
        <f t="shared" si="1"/>
        <v>1.3509410000000004</v>
      </c>
      <c r="P34" s="36">
        <f t="shared" si="2"/>
        <v>0.17571951999999999</v>
      </c>
      <c r="Q34" s="36">
        <f t="shared" si="3"/>
        <v>1.5266605200000003</v>
      </c>
      <c r="R34" s="36">
        <f t="shared" si="7"/>
        <v>1.4481310000000007</v>
      </c>
      <c r="S34" s="37">
        <f t="shared" si="8"/>
        <v>0.20371023999999968</v>
      </c>
      <c r="T34">
        <f t="shared" si="9"/>
        <v>1.6518412400000002</v>
      </c>
      <c r="U34">
        <f t="shared" si="10"/>
        <v>9.2713350985713164E-2</v>
      </c>
    </row>
    <row r="35" spans="1:21">
      <c r="A35">
        <f>Entry!B36</f>
        <v>507</v>
      </c>
      <c r="B35" s="1" t="s">
        <v>18</v>
      </c>
      <c r="C35" s="18">
        <f>Entry!C36</f>
        <v>42418.756944444445</v>
      </c>
      <c r="D35" s="40">
        <f>Entry!D36</f>
        <v>2.5888888888875954</v>
      </c>
      <c r="E35" s="32">
        <v>100</v>
      </c>
      <c r="F35" s="32">
        <v>10</v>
      </c>
      <c r="G35" s="44">
        <f>Entry!H36</f>
        <v>14.7</v>
      </c>
      <c r="H35" s="44">
        <f>Entry!I36</f>
        <v>8.31</v>
      </c>
      <c r="I35" s="43">
        <v>1</v>
      </c>
      <c r="J35" s="48">
        <f>Entry!$J$3</f>
        <v>1.9438</v>
      </c>
      <c r="K35" s="36">
        <f t="shared" si="4"/>
        <v>1.47</v>
      </c>
      <c r="L35" s="36">
        <f t="shared" si="0"/>
        <v>1.7689530685920576</v>
      </c>
      <c r="M35" s="36"/>
      <c r="N35" s="36"/>
      <c r="O35" s="36">
        <f t="shared" si="1"/>
        <v>1.2420881999999998</v>
      </c>
      <c r="P35" s="36">
        <f t="shared" si="2"/>
        <v>0.11476195200000049</v>
      </c>
      <c r="Q35" s="36">
        <f t="shared" si="3"/>
        <v>1.3568501520000003</v>
      </c>
      <c r="R35" s="36"/>
      <c r="S35" s="37"/>
    </row>
    <row r="36" spans="1:21">
      <c r="A36">
        <f>Entry!B37</f>
        <v>508</v>
      </c>
      <c r="B36" s="1" t="s">
        <v>18</v>
      </c>
      <c r="C36" s="18">
        <f>Entry!C37</f>
        <v>42418.756944444445</v>
      </c>
      <c r="D36" s="40">
        <f>Entry!D37</f>
        <v>2.5888888888875954</v>
      </c>
      <c r="E36" s="32">
        <v>100</v>
      </c>
      <c r="F36" s="32">
        <v>10</v>
      </c>
      <c r="G36" s="44">
        <f>Entry!H37</f>
        <v>14</v>
      </c>
      <c r="H36" s="44">
        <f>Entry!I37</f>
        <v>8.0500000000000007</v>
      </c>
      <c r="I36" s="43">
        <v>1</v>
      </c>
      <c r="J36" s="48">
        <f>Entry!$J$3</f>
        <v>1.9438</v>
      </c>
      <c r="K36" s="36">
        <f t="shared" si="4"/>
        <v>1.4000000000000001</v>
      </c>
      <c r="L36" s="36">
        <f t="shared" si="0"/>
        <v>1.7391304347826086</v>
      </c>
      <c r="M36" s="36"/>
      <c r="N36" s="36"/>
      <c r="O36" s="36">
        <f t="shared" si="1"/>
        <v>1.1565609999999997</v>
      </c>
      <c r="P36" s="36">
        <f t="shared" si="2"/>
        <v>0.15783656000000024</v>
      </c>
      <c r="Q36" s="36">
        <f t="shared" si="3"/>
        <v>1.31439756</v>
      </c>
      <c r="R36" s="36"/>
      <c r="S36" s="37"/>
    </row>
    <row r="37" spans="1:21">
      <c r="A37">
        <f>Entry!B38</f>
        <v>509</v>
      </c>
      <c r="B37" s="1" t="s">
        <v>18</v>
      </c>
      <c r="C37" s="18">
        <f>Entry!C38</f>
        <v>42418.756944444445</v>
      </c>
      <c r="D37" s="40">
        <f>Entry!D38</f>
        <v>2.5888888888875954</v>
      </c>
      <c r="E37" s="32">
        <v>100</v>
      </c>
      <c r="F37" s="32">
        <v>10</v>
      </c>
      <c r="G37" s="44">
        <f>Entry!H38</f>
        <v>14.6</v>
      </c>
      <c r="H37" s="44">
        <f>Entry!I38</f>
        <v>8.33</v>
      </c>
      <c r="I37" s="43">
        <v>1</v>
      </c>
      <c r="J37" s="48">
        <f>Entry!$J$3</f>
        <v>1.9438</v>
      </c>
      <c r="K37" s="36">
        <f t="shared" si="4"/>
        <v>1.46</v>
      </c>
      <c r="L37" s="36">
        <f t="shared" si="0"/>
        <v>1.7527010804321728</v>
      </c>
      <c r="M37" s="36">
        <f t="shared" si="5"/>
        <v>1.4433333333333334</v>
      </c>
      <c r="N37" s="36">
        <f t="shared" si="6"/>
        <v>1.7535948612689465</v>
      </c>
      <c r="O37" s="36">
        <f t="shared" si="1"/>
        <v>1.2187626</v>
      </c>
      <c r="P37" s="36">
        <f t="shared" si="2"/>
        <v>0.14135313600000032</v>
      </c>
      <c r="Q37" s="36">
        <f t="shared" si="3"/>
        <v>1.3601157360000005</v>
      </c>
      <c r="R37" s="36">
        <f t="shared" si="7"/>
        <v>1.205803933333333</v>
      </c>
      <c r="S37" s="37">
        <f t="shared" si="8"/>
        <v>0.13798388266666703</v>
      </c>
      <c r="T37">
        <f t="shared" si="9"/>
        <v>1.3437878160000001</v>
      </c>
      <c r="U37">
        <f t="shared" si="10"/>
        <v>4.4211658714566886E-2</v>
      </c>
    </row>
    <row r="38" spans="1:21">
      <c r="A38" s="49">
        <f>Entry!B39</f>
        <v>510</v>
      </c>
      <c r="B38" s="50" t="s">
        <v>18</v>
      </c>
      <c r="C38" s="51">
        <f>Entry!C39</f>
        <v>42418.777777777781</v>
      </c>
      <c r="D38" s="40">
        <f>Entry!D39</f>
        <v>2.609722222223354</v>
      </c>
      <c r="E38" s="32">
        <v>100</v>
      </c>
      <c r="F38" s="32">
        <v>10</v>
      </c>
      <c r="G38" s="44">
        <f>Entry!H39</f>
        <v>14.4</v>
      </c>
      <c r="H38" s="44">
        <f>Entry!I39</f>
        <v>8.2199999999999989</v>
      </c>
      <c r="I38" s="43">
        <v>1</v>
      </c>
      <c r="J38" s="48">
        <f>Entry!$J$3</f>
        <v>1.9438</v>
      </c>
      <c r="K38" s="36">
        <f t="shared" si="4"/>
        <v>1.4400000000000002</v>
      </c>
      <c r="L38" s="36">
        <f t="shared" si="0"/>
        <v>1.7518248175182485</v>
      </c>
      <c r="M38" s="36"/>
      <c r="N38" s="36"/>
      <c r="O38" s="36">
        <f t="shared" si="1"/>
        <v>1.2012684000000002</v>
      </c>
      <c r="P38" s="36">
        <f t="shared" si="2"/>
        <v>0.14088662399999968</v>
      </c>
      <c r="Q38" s="36">
        <f t="shared" si="3"/>
        <v>1.342155024</v>
      </c>
      <c r="R38" s="36"/>
      <c r="S38" s="37"/>
      <c r="T38" s="49"/>
      <c r="U38" s="49"/>
    </row>
    <row r="39" spans="1:21">
      <c r="A39" s="49">
        <f>Entry!B40</f>
        <v>511</v>
      </c>
      <c r="B39" s="50" t="s">
        <v>18</v>
      </c>
      <c r="C39" s="51">
        <f>Entry!C40</f>
        <v>42418.777777777781</v>
      </c>
      <c r="D39" s="40">
        <f>Entry!D40</f>
        <v>2.609722222223354</v>
      </c>
      <c r="E39" s="32">
        <v>100</v>
      </c>
      <c r="F39" s="32">
        <v>10</v>
      </c>
      <c r="G39" s="44">
        <f>Entry!H40</f>
        <v>14.2</v>
      </c>
      <c r="H39" s="44">
        <f>Entry!I40</f>
        <v>8.0400000000000009</v>
      </c>
      <c r="I39" s="43">
        <v>1</v>
      </c>
      <c r="J39" s="48">
        <f>Entry!$J$3</f>
        <v>1.9438</v>
      </c>
      <c r="K39" s="36">
        <f t="shared" si="4"/>
        <v>1.42</v>
      </c>
      <c r="L39" s="36">
        <f t="shared" si="0"/>
        <v>1.7661691542288553</v>
      </c>
      <c r="M39" s="36"/>
      <c r="N39" s="36"/>
      <c r="O39" s="36">
        <f t="shared" si="1"/>
        <v>1.1973807999999997</v>
      </c>
      <c r="P39" s="36">
        <f t="shared" si="2"/>
        <v>0.11538396800000075</v>
      </c>
      <c r="Q39" s="36">
        <f t="shared" si="3"/>
        <v>1.3127647680000005</v>
      </c>
      <c r="R39" s="36"/>
      <c r="S39" s="37"/>
      <c r="T39" s="49"/>
      <c r="U39" s="49"/>
    </row>
    <row r="40" spans="1:21">
      <c r="A40" s="49">
        <f>Entry!B41</f>
        <v>512</v>
      </c>
      <c r="B40" s="50" t="s">
        <v>18</v>
      </c>
      <c r="C40" s="51">
        <f>Entry!C41</f>
        <v>42418.777777777781</v>
      </c>
      <c r="D40" s="40">
        <f>Entry!D41</f>
        <v>2.609722222223354</v>
      </c>
      <c r="E40" s="32">
        <v>100</v>
      </c>
      <c r="F40" s="32">
        <v>10</v>
      </c>
      <c r="G40" s="44">
        <f>Entry!H41</f>
        <v>13.6</v>
      </c>
      <c r="H40" s="44">
        <f>Entry!I41</f>
        <v>7.72</v>
      </c>
      <c r="I40" s="43">
        <v>1</v>
      </c>
      <c r="J40" s="48">
        <f>Entry!$J$3</f>
        <v>1.9438</v>
      </c>
      <c r="K40" s="36">
        <f t="shared" si="4"/>
        <v>1.36</v>
      </c>
      <c r="L40" s="36">
        <f t="shared" si="0"/>
        <v>1.7616580310880829</v>
      </c>
      <c r="M40" s="36">
        <f t="shared" si="5"/>
        <v>1.406666666666667</v>
      </c>
      <c r="N40" s="36">
        <f t="shared" si="6"/>
        <v>1.7598840009450623</v>
      </c>
      <c r="O40" s="36">
        <f t="shared" si="1"/>
        <v>1.1429544</v>
      </c>
      <c r="P40" s="36">
        <f t="shared" si="2"/>
        <v>0.11756102400000018</v>
      </c>
      <c r="Q40" s="36">
        <f t="shared" si="3"/>
        <v>1.2605154240000003</v>
      </c>
      <c r="R40" s="36">
        <f t="shared" si="7"/>
        <v>1.1805345333333335</v>
      </c>
      <c r="S40" s="37">
        <f t="shared" si="8"/>
        <v>0.12461053866666688</v>
      </c>
      <c r="T40" s="49">
        <f t="shared" si="9"/>
        <v>1.3051450720000002</v>
      </c>
      <c r="U40" s="49">
        <f t="shared" si="10"/>
        <v>3.2603346062226979E-2</v>
      </c>
    </row>
    <row r="41" spans="1:21">
      <c r="A41" s="49">
        <f>Entry!B42</f>
        <v>513</v>
      </c>
      <c r="B41" s="50" t="s">
        <v>18</v>
      </c>
      <c r="C41" s="51">
        <f>Entry!C42</f>
        <v>42418.786111111112</v>
      </c>
      <c r="D41" s="40">
        <f>Entry!D42</f>
        <v>2.6180555555547471</v>
      </c>
      <c r="E41" s="32">
        <v>100</v>
      </c>
      <c r="F41" s="32">
        <v>10</v>
      </c>
      <c r="G41" s="44">
        <f>Entry!H42</f>
        <v>14.1</v>
      </c>
      <c r="H41" s="44">
        <f>Entry!I42</f>
        <v>8.0299999999999994</v>
      </c>
      <c r="I41" s="43">
        <v>1</v>
      </c>
      <c r="J41" s="48">
        <f>Entry!$J$3</f>
        <v>1.9438</v>
      </c>
      <c r="K41" s="36">
        <f t="shared" si="4"/>
        <v>1.4100000000000001</v>
      </c>
      <c r="L41" s="36">
        <f t="shared" si="0"/>
        <v>1.7559153175591533</v>
      </c>
      <c r="M41" s="36"/>
      <c r="N41" s="36"/>
      <c r="O41" s="36">
        <f t="shared" si="1"/>
        <v>1.1798866000000001</v>
      </c>
      <c r="P41" s="36">
        <f t="shared" si="2"/>
        <v>0.13124537600000005</v>
      </c>
      <c r="Q41" s="36">
        <f t="shared" si="3"/>
        <v>1.3111319760000002</v>
      </c>
      <c r="R41" s="36"/>
      <c r="S41" s="37"/>
      <c r="T41" s="49"/>
      <c r="U41" s="49"/>
    </row>
    <row r="42" spans="1:21">
      <c r="A42" s="49">
        <f>Entry!B43</f>
        <v>514</v>
      </c>
      <c r="B42" s="50" t="s">
        <v>18</v>
      </c>
      <c r="C42" s="51">
        <f>Entry!C43</f>
        <v>42418.786111111112</v>
      </c>
      <c r="D42" s="40">
        <f>Entry!D43</f>
        <v>2.6180555555547471</v>
      </c>
      <c r="E42" s="32">
        <v>100</v>
      </c>
      <c r="F42" s="32">
        <v>10</v>
      </c>
      <c r="G42" s="44" t="str">
        <f>Entry!H43</f>
        <v>!=E43-IF(G43="h",$L$11,IF(G43="m",$L$12,IF(G43="l",$L$13,-99)))</v>
      </c>
      <c r="H42" s="44" t="str">
        <f>Entry!I43</f>
        <v>!=F43-IF(G43="h",$L$11,IF(G43="m",$L$12,IF(G43="l",$L$13,-99)))</v>
      </c>
      <c r="I42" s="43">
        <v>1</v>
      </c>
      <c r="J42" s="48">
        <f>Entry!$J$3</f>
        <v>1.9438</v>
      </c>
      <c r="K42" s="36" t="e">
        <f t="shared" si="4"/>
        <v>#VALUE!</v>
      </c>
      <c r="L42" s="36" t="e">
        <f t="shared" si="0"/>
        <v>#VALUE!</v>
      </c>
      <c r="M42" s="36"/>
      <c r="N42" s="36"/>
      <c r="O42" s="36" t="e">
        <f t="shared" si="1"/>
        <v>#VALUE!</v>
      </c>
      <c r="P42" s="36" t="e">
        <f t="shared" si="2"/>
        <v>#VALUE!</v>
      </c>
      <c r="Q42" s="36" t="e">
        <f t="shared" si="3"/>
        <v>#VALUE!</v>
      </c>
      <c r="R42" s="36"/>
      <c r="S42" s="37"/>
      <c r="T42" s="49"/>
      <c r="U42" s="49"/>
    </row>
    <row r="43" spans="1:21">
      <c r="A43" s="49">
        <f>Entry!B44</f>
        <v>515</v>
      </c>
      <c r="B43" s="50" t="s">
        <v>18</v>
      </c>
      <c r="C43" s="51">
        <f>Entry!C44</f>
        <v>42418.786111111112</v>
      </c>
      <c r="D43" s="40">
        <f>Entry!D44</f>
        <v>2.6180555555547471</v>
      </c>
      <c r="E43" s="32">
        <v>100</v>
      </c>
      <c r="F43" s="32">
        <v>10</v>
      </c>
      <c r="G43" s="44">
        <f>Entry!H44</f>
        <v>12.799999999999999</v>
      </c>
      <c r="H43" s="44">
        <f>Entry!I44</f>
        <v>7.33</v>
      </c>
      <c r="I43" s="43">
        <v>1</v>
      </c>
      <c r="J43" s="48">
        <f>Entry!$J$3</f>
        <v>1.9438</v>
      </c>
      <c r="K43" s="36">
        <f t="shared" si="4"/>
        <v>1.28</v>
      </c>
      <c r="L43" s="36">
        <f t="shared" si="0"/>
        <v>1.7462482946793996</v>
      </c>
      <c r="M43" s="36" t="e">
        <f t="shared" si="5"/>
        <v>#VALUE!</v>
      </c>
      <c r="N43" s="36" t="e">
        <f t="shared" si="6"/>
        <v>#VALUE!</v>
      </c>
      <c r="O43" s="36">
        <f t="shared" si="1"/>
        <v>1.0632585999999999</v>
      </c>
      <c r="P43" s="36">
        <f t="shared" si="2"/>
        <v>0.13357793600000048</v>
      </c>
      <c r="Q43" s="36">
        <f t="shared" si="3"/>
        <v>1.1968365360000004</v>
      </c>
      <c r="R43" s="36" t="e">
        <f t="shared" si="7"/>
        <v>#VALUE!</v>
      </c>
      <c r="S43" s="37" t="e">
        <f t="shared" si="8"/>
        <v>#VALUE!</v>
      </c>
      <c r="T43" s="49" t="e">
        <f t="shared" si="9"/>
        <v>#VALUE!</v>
      </c>
      <c r="U43" s="49" t="e">
        <f t="shared" si="10"/>
        <v>#VALUE!</v>
      </c>
    </row>
    <row r="44" spans="1:21">
      <c r="A44" s="49">
        <f>Entry!B45</f>
        <v>516</v>
      </c>
      <c r="B44" s="50" t="s">
        <v>18</v>
      </c>
      <c r="C44" s="51">
        <f>Entry!C45</f>
        <v>42420.519444444442</v>
      </c>
      <c r="D44" s="40">
        <f>Entry!D45</f>
        <v>4.351388888884685</v>
      </c>
      <c r="E44" s="32">
        <v>100</v>
      </c>
      <c r="F44" s="32">
        <v>10</v>
      </c>
      <c r="G44" s="44">
        <f>Entry!H45</f>
        <v>14.2</v>
      </c>
      <c r="H44" s="44">
        <f>Entry!I45</f>
        <v>8.2799999999999994</v>
      </c>
      <c r="I44" s="43">
        <v>1</v>
      </c>
      <c r="J44" s="48">
        <f>Entry!$J$3</f>
        <v>1.9438</v>
      </c>
      <c r="K44" s="36">
        <f t="shared" si="4"/>
        <v>1.42</v>
      </c>
      <c r="L44" s="36">
        <f t="shared" si="0"/>
        <v>1.7149758454106281</v>
      </c>
      <c r="M44" s="36"/>
      <c r="N44" s="36"/>
      <c r="O44" s="36">
        <f t="shared" si="1"/>
        <v>1.1507296</v>
      </c>
      <c r="P44" s="36">
        <f t="shared" si="2"/>
        <v>0.20122217599999992</v>
      </c>
      <c r="Q44" s="36">
        <f t="shared" si="3"/>
        <v>1.3519517759999999</v>
      </c>
      <c r="R44" s="36"/>
      <c r="S44" s="37"/>
      <c r="T44" s="49"/>
      <c r="U44" s="49"/>
    </row>
    <row r="45" spans="1:21">
      <c r="A45" s="49">
        <f>Entry!B46</f>
        <v>517</v>
      </c>
      <c r="B45" s="50" t="s">
        <v>18</v>
      </c>
      <c r="C45" s="51">
        <f>Entry!C46</f>
        <v>42420.519444444442</v>
      </c>
      <c r="D45" s="40">
        <f>Entry!D46</f>
        <v>4.351388888884685</v>
      </c>
      <c r="E45" s="32">
        <v>100</v>
      </c>
      <c r="F45" s="32">
        <v>10</v>
      </c>
      <c r="G45" s="44">
        <f>Entry!H46</f>
        <v>12.8</v>
      </c>
      <c r="H45" s="44">
        <f>Entry!I46</f>
        <v>7.31</v>
      </c>
      <c r="I45" s="43">
        <v>1</v>
      </c>
      <c r="J45" s="48">
        <f>Entry!$J$3</f>
        <v>1.9438</v>
      </c>
      <c r="K45" s="36">
        <f t="shared" si="4"/>
        <v>1.2800000000000002</v>
      </c>
      <c r="L45" s="36">
        <f t="shared" si="0"/>
        <v>1.7510259917920659</v>
      </c>
      <c r="M45" s="36"/>
      <c r="N45" s="36"/>
      <c r="O45" s="36">
        <f t="shared" si="1"/>
        <v>1.0671462000000003</v>
      </c>
      <c r="P45" s="36">
        <f t="shared" si="2"/>
        <v>0.12642475199999989</v>
      </c>
      <c r="Q45" s="36">
        <f t="shared" si="3"/>
        <v>1.1935709520000002</v>
      </c>
      <c r="R45" s="36"/>
      <c r="S45" s="37"/>
      <c r="T45" s="49"/>
      <c r="U45" s="49"/>
    </row>
    <row r="46" spans="1:21">
      <c r="A46" s="49">
        <f>Entry!B47</f>
        <v>518</v>
      </c>
      <c r="B46" s="50" t="s">
        <v>18</v>
      </c>
      <c r="C46" s="51">
        <f>Entry!C47</f>
        <v>42420.519444444442</v>
      </c>
      <c r="D46" s="40">
        <f>Entry!D47</f>
        <v>4.351388888884685</v>
      </c>
      <c r="E46" s="32">
        <v>100</v>
      </c>
      <c r="F46" s="32">
        <v>10</v>
      </c>
      <c r="G46" s="44">
        <f>Entry!H47</f>
        <v>12.7</v>
      </c>
      <c r="H46" s="44">
        <f>Entry!I47</f>
        <v>7.41</v>
      </c>
      <c r="I46" s="43">
        <v>1</v>
      </c>
      <c r="J46" s="48">
        <f>Entry!$J$3</f>
        <v>1.9438</v>
      </c>
      <c r="K46" s="36">
        <f t="shared" si="4"/>
        <v>1.27</v>
      </c>
      <c r="L46" s="36">
        <f t="shared" si="0"/>
        <v>1.7139001349527665</v>
      </c>
      <c r="M46" s="36">
        <f t="shared" si="5"/>
        <v>1.3233333333333335</v>
      </c>
      <c r="N46" s="36">
        <f t="shared" si="6"/>
        <v>1.7266339907184871</v>
      </c>
      <c r="O46" s="36">
        <f t="shared" si="1"/>
        <v>1.0282701999999999</v>
      </c>
      <c r="P46" s="36">
        <f t="shared" si="2"/>
        <v>0.18162867200000038</v>
      </c>
      <c r="Q46" s="36">
        <f t="shared" si="3"/>
        <v>1.2098988720000003</v>
      </c>
      <c r="R46" s="36">
        <f t="shared" si="7"/>
        <v>1.0820486666666669</v>
      </c>
      <c r="S46" s="37">
        <f t="shared" si="8"/>
        <v>0.16975853333333343</v>
      </c>
      <c r="T46" s="49">
        <f t="shared" si="9"/>
        <v>1.2518072</v>
      </c>
      <c r="U46" s="49">
        <f t="shared" si="10"/>
        <v>6.2575065294838764E-2</v>
      </c>
    </row>
    <row r="47" spans="1:21">
      <c r="A47" s="49">
        <f>Entry!B48</f>
        <v>519</v>
      </c>
      <c r="B47" s="50" t="s">
        <v>18</v>
      </c>
      <c r="C47" s="51">
        <f>Entry!C48</f>
        <v>42420.538194444445</v>
      </c>
      <c r="D47" s="40">
        <f>Entry!D48</f>
        <v>4.3701388888875954</v>
      </c>
      <c r="E47" s="32">
        <v>100</v>
      </c>
      <c r="F47" s="32">
        <v>10</v>
      </c>
      <c r="G47" s="44">
        <f>Entry!H48</f>
        <v>18.8</v>
      </c>
      <c r="H47" s="44">
        <f>Entry!I48</f>
        <v>10.8</v>
      </c>
      <c r="I47" s="43">
        <v>1</v>
      </c>
      <c r="J47" s="48">
        <f>Entry!$J$3</f>
        <v>1.9438</v>
      </c>
      <c r="K47" s="36">
        <f t="shared" si="4"/>
        <v>1.8800000000000001</v>
      </c>
      <c r="L47" s="36">
        <f t="shared" si="0"/>
        <v>1.7407407407407407</v>
      </c>
      <c r="M47" s="36"/>
      <c r="N47" s="36"/>
      <c r="O47" s="36">
        <f t="shared" si="1"/>
        <v>1.55504</v>
      </c>
      <c r="P47" s="36">
        <f t="shared" si="2"/>
        <v>0.20837536000000056</v>
      </c>
      <c r="Q47" s="36">
        <f t="shared" si="3"/>
        <v>1.7634153600000007</v>
      </c>
      <c r="R47" s="36"/>
      <c r="S47" s="37"/>
      <c r="T47" s="49"/>
      <c r="U47" s="49"/>
    </row>
    <row r="48" spans="1:21">
      <c r="A48" s="49">
        <f>Entry!B49</f>
        <v>520</v>
      </c>
      <c r="B48" s="50" t="s">
        <v>18</v>
      </c>
      <c r="C48" s="51">
        <f>Entry!C49</f>
        <v>42420.538194444445</v>
      </c>
      <c r="D48" s="40">
        <f>Entry!D49</f>
        <v>4.3701388888875954</v>
      </c>
      <c r="E48" s="32">
        <v>100</v>
      </c>
      <c r="F48" s="32">
        <v>10</v>
      </c>
      <c r="G48" s="44">
        <f>Entry!H49</f>
        <v>16.899999999999999</v>
      </c>
      <c r="H48" s="44">
        <f>Entry!I49</f>
        <v>9.66</v>
      </c>
      <c r="I48" s="43">
        <v>1</v>
      </c>
      <c r="J48" s="48">
        <f>Entry!$J$3</f>
        <v>1.9438</v>
      </c>
      <c r="K48" s="36">
        <f t="shared" si="4"/>
        <v>1.69</v>
      </c>
      <c r="L48" s="36">
        <f t="shared" si="0"/>
        <v>1.7494824016563146</v>
      </c>
      <c r="M48" s="36"/>
      <c r="N48" s="36"/>
      <c r="O48" s="36">
        <f t="shared" si="1"/>
        <v>1.4073111999999997</v>
      </c>
      <c r="P48" s="36">
        <f t="shared" si="2"/>
        <v>0.16996587200000027</v>
      </c>
      <c r="Q48" s="36">
        <f t="shared" si="3"/>
        <v>1.577277072</v>
      </c>
      <c r="R48" s="36"/>
      <c r="S48" s="37"/>
      <c r="T48" s="49"/>
      <c r="U48" s="49"/>
    </row>
    <row r="49" spans="1:21">
      <c r="A49" s="49">
        <f>Entry!B50</f>
        <v>521</v>
      </c>
      <c r="B49" s="50" t="s">
        <v>18</v>
      </c>
      <c r="C49" s="51">
        <f>Entry!C50</f>
        <v>42420.538194444445</v>
      </c>
      <c r="D49" s="40">
        <f>Entry!D50</f>
        <v>4.3701388888875954</v>
      </c>
      <c r="E49" s="32">
        <v>100</v>
      </c>
      <c r="F49" s="32">
        <v>10</v>
      </c>
      <c r="G49" s="44" t="str">
        <f>Entry!H50</f>
        <v>!=E50-IF(G50="h",$L$15,IF(G50="m",$L$16,IF(G50="l",$L$17,-99)))</v>
      </c>
      <c r="H49" s="44" t="str">
        <f>Entry!I50</f>
        <v>!=F50-IF(G50="h",$L$15,IF(G50="m",$L$16,IF(G50="l",$L$17,-99)))</v>
      </c>
      <c r="I49" s="43">
        <v>1</v>
      </c>
      <c r="J49" s="48">
        <f>Entry!$J$3</f>
        <v>1.9438</v>
      </c>
      <c r="K49" s="36" t="e">
        <f t="shared" si="4"/>
        <v>#VALUE!</v>
      </c>
      <c r="L49" s="36" t="e">
        <f t="shared" si="0"/>
        <v>#VALUE!</v>
      </c>
      <c r="M49" s="36" t="e">
        <f t="shared" si="5"/>
        <v>#VALUE!</v>
      </c>
      <c r="N49" s="36" t="e">
        <f t="shared" si="6"/>
        <v>#VALUE!</v>
      </c>
      <c r="O49" s="36" t="e">
        <f t="shared" si="1"/>
        <v>#VALUE!</v>
      </c>
      <c r="P49" s="36" t="e">
        <f t="shared" si="2"/>
        <v>#VALUE!</v>
      </c>
      <c r="Q49" s="36" t="e">
        <f t="shared" si="3"/>
        <v>#VALUE!</v>
      </c>
      <c r="R49" s="36" t="e">
        <f t="shared" si="7"/>
        <v>#VALUE!</v>
      </c>
      <c r="S49" s="37" t="e">
        <f t="shared" si="8"/>
        <v>#VALUE!</v>
      </c>
      <c r="T49" s="49" t="e">
        <f t="shared" si="9"/>
        <v>#VALUE!</v>
      </c>
      <c r="U49" s="49" t="e">
        <f t="shared" si="10"/>
        <v>#VALUE!</v>
      </c>
    </row>
    <row r="50" spans="1:21">
      <c r="A50" s="49">
        <f>Entry!B51</f>
        <v>522</v>
      </c>
      <c r="B50" s="50" t="s">
        <v>18</v>
      </c>
      <c r="C50" s="51">
        <f>Entry!C51</f>
        <v>42420.554861111108</v>
      </c>
      <c r="D50" s="40">
        <f>Entry!D51</f>
        <v>4.3868055555503815</v>
      </c>
      <c r="E50" s="32">
        <v>100</v>
      </c>
      <c r="F50" s="32">
        <v>10</v>
      </c>
      <c r="G50" s="44" t="str">
        <f>Entry!H51</f>
        <v>!=E51-IF(G51="h",$L$15,IF(G51="m",$L$16,IF(G51="l",$L$17,-99)))</v>
      </c>
      <c r="H50" s="44" t="str">
        <f>Entry!I51</f>
        <v>!=F51-IF(G51="h",$L$15,IF(G51="m",$L$16,IF(G51="l",$L$17,-99)))</v>
      </c>
      <c r="I50" s="43">
        <v>1</v>
      </c>
      <c r="J50" s="48">
        <f>Entry!$J$3</f>
        <v>1.9438</v>
      </c>
      <c r="K50" s="36" t="e">
        <f t="shared" si="4"/>
        <v>#VALUE!</v>
      </c>
      <c r="L50" s="36" t="e">
        <f t="shared" si="0"/>
        <v>#VALUE!</v>
      </c>
      <c r="M50" s="36"/>
      <c r="N50" s="36"/>
      <c r="O50" s="36" t="e">
        <f t="shared" si="1"/>
        <v>#VALUE!</v>
      </c>
      <c r="P50" s="36" t="e">
        <f t="shared" si="2"/>
        <v>#VALUE!</v>
      </c>
      <c r="Q50" s="36" t="e">
        <f t="shared" si="3"/>
        <v>#VALUE!</v>
      </c>
      <c r="R50" s="36"/>
      <c r="S50" s="37"/>
      <c r="T50" s="49"/>
      <c r="U50" s="49"/>
    </row>
    <row r="51" spans="1:21">
      <c r="A51" s="49">
        <f>Entry!B52</f>
        <v>523</v>
      </c>
      <c r="B51" s="50" t="s">
        <v>18</v>
      </c>
      <c r="C51" s="51">
        <f>Entry!C52</f>
        <v>42420.554861111108</v>
      </c>
      <c r="D51" s="40">
        <f>Entry!D52</f>
        <v>4.3868055555503815</v>
      </c>
      <c r="E51" s="32">
        <v>100</v>
      </c>
      <c r="F51" s="32">
        <v>10</v>
      </c>
      <c r="G51" s="44">
        <f>Entry!H52</f>
        <v>14.3</v>
      </c>
      <c r="H51" s="44">
        <f>Entry!I52</f>
        <v>8.17</v>
      </c>
      <c r="I51" s="43">
        <v>1</v>
      </c>
      <c r="J51" s="48">
        <f>Entry!$J$3</f>
        <v>1.9438</v>
      </c>
      <c r="K51" s="36">
        <f t="shared" si="4"/>
        <v>1.4300000000000002</v>
      </c>
      <c r="L51" s="36">
        <f t="shared" si="0"/>
        <v>1.7503059975520197</v>
      </c>
      <c r="M51" s="36"/>
      <c r="N51" s="36"/>
      <c r="O51" s="36">
        <f t="shared" si="1"/>
        <v>1.1915494000000002</v>
      </c>
      <c r="P51" s="36">
        <f t="shared" si="2"/>
        <v>0.14244166399999986</v>
      </c>
      <c r="Q51" s="36">
        <f t="shared" si="3"/>
        <v>1.3339910640000001</v>
      </c>
      <c r="R51" s="36"/>
      <c r="S51" s="37"/>
      <c r="T51" s="49"/>
      <c r="U51" s="49"/>
    </row>
    <row r="52" spans="1:21">
      <c r="A52" s="49">
        <f>Entry!B53</f>
        <v>524</v>
      </c>
      <c r="B52" s="50" t="s">
        <v>18</v>
      </c>
      <c r="C52" s="51">
        <f>Entry!C53</f>
        <v>42420.554861111108</v>
      </c>
      <c r="D52" s="40">
        <f>Entry!D53</f>
        <v>4.3868055555503815</v>
      </c>
      <c r="E52" s="32">
        <v>100</v>
      </c>
      <c r="F52" s="32">
        <v>10</v>
      </c>
      <c r="G52" s="44">
        <f>Entry!H53</f>
        <v>15.5</v>
      </c>
      <c r="H52" s="44">
        <f>Entry!I53</f>
        <v>8.98</v>
      </c>
      <c r="I52" s="43">
        <v>1</v>
      </c>
      <c r="J52" s="48">
        <f>Entry!$J$3</f>
        <v>1.9438</v>
      </c>
      <c r="K52" s="36">
        <f t="shared" si="4"/>
        <v>1.55</v>
      </c>
      <c r="L52" s="36">
        <f t="shared" si="0"/>
        <v>1.7260579064587973</v>
      </c>
      <c r="M52" s="36" t="e">
        <f t="shared" si="5"/>
        <v>#VALUE!</v>
      </c>
      <c r="N52" s="36" t="e">
        <f t="shared" si="6"/>
        <v>#VALUE!</v>
      </c>
      <c r="O52" s="36">
        <f t="shared" si="1"/>
        <v>1.2673576</v>
      </c>
      <c r="P52" s="36">
        <f t="shared" si="2"/>
        <v>0.19888961600000055</v>
      </c>
      <c r="Q52" s="36">
        <f t="shared" si="3"/>
        <v>1.4662472160000006</v>
      </c>
      <c r="R52" s="36" t="e">
        <f t="shared" si="7"/>
        <v>#VALUE!</v>
      </c>
      <c r="S52" s="37" t="e">
        <f t="shared" si="8"/>
        <v>#VALUE!</v>
      </c>
      <c r="T52" s="49" t="e">
        <f t="shared" si="9"/>
        <v>#VALUE!</v>
      </c>
      <c r="U52" s="49" t="e">
        <f t="shared" si="10"/>
        <v>#VALUE!</v>
      </c>
    </row>
    <row r="53" spans="1:21">
      <c r="A53" s="49">
        <f>Entry!B54</f>
        <v>525</v>
      </c>
      <c r="B53" s="50" t="s">
        <v>18</v>
      </c>
      <c r="C53" s="51">
        <f>Entry!C54</f>
        <v>42420.569444444445</v>
      </c>
      <c r="D53" s="40">
        <f>Entry!D54</f>
        <v>4.4013888888875954</v>
      </c>
      <c r="E53" s="32">
        <v>100</v>
      </c>
      <c r="F53" s="32">
        <v>10</v>
      </c>
      <c r="G53" s="44">
        <f>Entry!H54</f>
        <v>15.2</v>
      </c>
      <c r="H53" s="44">
        <f>Entry!I54</f>
        <v>8.52</v>
      </c>
      <c r="I53" s="43">
        <v>1</v>
      </c>
      <c r="J53" s="48">
        <f>Entry!$J$3</f>
        <v>1.9438</v>
      </c>
      <c r="K53" s="36">
        <f t="shared" si="4"/>
        <v>1.52</v>
      </c>
      <c r="L53" s="36">
        <f t="shared" si="0"/>
        <v>1.784037558685446</v>
      </c>
      <c r="M53" s="36"/>
      <c r="N53" s="36"/>
      <c r="O53" s="36">
        <f t="shared" si="1"/>
        <v>1.2984584000000001</v>
      </c>
      <c r="P53" s="36">
        <f t="shared" si="2"/>
        <v>9.2680384000000157E-2</v>
      </c>
      <c r="Q53" s="36">
        <f t="shared" si="3"/>
        <v>1.3911387840000002</v>
      </c>
      <c r="R53" s="36"/>
      <c r="S53" s="37"/>
      <c r="T53" s="49"/>
      <c r="U53" s="49"/>
    </row>
    <row r="54" spans="1:21">
      <c r="A54" s="49">
        <f>Entry!B55</f>
        <v>526</v>
      </c>
      <c r="B54" s="50" t="s">
        <v>18</v>
      </c>
      <c r="C54" s="51">
        <f>Entry!C55</f>
        <v>42420.569444444445</v>
      </c>
      <c r="D54" s="40">
        <f>Entry!D55</f>
        <v>4.4013888888875954</v>
      </c>
      <c r="E54" s="32">
        <v>100</v>
      </c>
      <c r="F54" s="32">
        <v>10</v>
      </c>
      <c r="G54" s="44" t="str">
        <f>Entry!H55</f>
        <v>!=E55-IF(G55="h",$L$15,IF(G55="m",$L$16,IF(G55="l",$L$17,-99)))</v>
      </c>
      <c r="H54" s="44" t="str">
        <f>Entry!I55</f>
        <v>!=F55-IF(G55="h",$L$15,IF(G55="m",$L$16,IF(G55="l",$L$17,-99)))</v>
      </c>
      <c r="I54" s="43">
        <v>1</v>
      </c>
      <c r="J54" s="48">
        <f>Entry!$J$3</f>
        <v>1.9438</v>
      </c>
      <c r="K54" s="36" t="e">
        <f t="shared" si="4"/>
        <v>#VALUE!</v>
      </c>
      <c r="L54" s="36" t="e">
        <f t="shared" si="0"/>
        <v>#VALUE!</v>
      </c>
      <c r="M54" s="36"/>
      <c r="N54" s="36"/>
      <c r="O54" s="36" t="e">
        <f t="shared" si="1"/>
        <v>#VALUE!</v>
      </c>
      <c r="P54" s="36" t="e">
        <f t="shared" si="2"/>
        <v>#VALUE!</v>
      </c>
      <c r="Q54" s="36" t="e">
        <f t="shared" si="3"/>
        <v>#VALUE!</v>
      </c>
      <c r="R54" s="36"/>
      <c r="S54" s="37"/>
      <c r="T54" s="49"/>
      <c r="U54" s="49"/>
    </row>
    <row r="55" spans="1:21">
      <c r="A55" s="49">
        <f>Entry!B56</f>
        <v>527</v>
      </c>
      <c r="B55" s="50" t="s">
        <v>18</v>
      </c>
      <c r="C55" s="51">
        <f>Entry!C56</f>
        <v>42420.569444444445</v>
      </c>
      <c r="D55" s="40">
        <f>Entry!D56</f>
        <v>4.4013888888875954</v>
      </c>
      <c r="E55" s="32">
        <v>100</v>
      </c>
      <c r="F55" s="32">
        <v>10</v>
      </c>
      <c r="G55" s="44">
        <f>Entry!H56</f>
        <v>15</v>
      </c>
      <c r="H55" s="44">
        <f>Entry!I56</f>
        <v>8.43</v>
      </c>
      <c r="I55" s="43">
        <v>1</v>
      </c>
      <c r="J55" s="48">
        <f>Entry!$J$3</f>
        <v>1.9438</v>
      </c>
      <c r="K55" s="36">
        <f t="shared" si="4"/>
        <v>1.5</v>
      </c>
      <c r="L55" s="36">
        <f t="shared" si="0"/>
        <v>1.7793594306049823</v>
      </c>
      <c r="M55" s="36" t="e">
        <f t="shared" si="5"/>
        <v>#VALUE!</v>
      </c>
      <c r="N55" s="36" t="e">
        <f t="shared" si="6"/>
        <v>#VALUE!</v>
      </c>
      <c r="O55" s="36">
        <f t="shared" si="1"/>
        <v>1.2770766</v>
      </c>
      <c r="P55" s="36">
        <f t="shared" si="2"/>
        <v>9.936705600000012E-2</v>
      </c>
      <c r="Q55" s="36">
        <f t="shared" si="3"/>
        <v>1.3764436560000002</v>
      </c>
      <c r="R55" s="36" t="e">
        <f t="shared" si="7"/>
        <v>#VALUE!</v>
      </c>
      <c r="S55" s="37" t="e">
        <f t="shared" si="8"/>
        <v>#VALUE!</v>
      </c>
      <c r="T55" s="49" t="e">
        <f t="shared" si="9"/>
        <v>#VALUE!</v>
      </c>
      <c r="U55" s="49" t="e">
        <f t="shared" si="10"/>
        <v>#VALUE!</v>
      </c>
    </row>
    <row r="56" spans="1:21">
      <c r="A56" s="49">
        <f>Entry!B57</f>
        <v>528</v>
      </c>
      <c r="B56" s="50" t="s">
        <v>18</v>
      </c>
      <c r="C56" s="51">
        <f>Entry!C57</f>
        <v>42420.586805555555</v>
      </c>
      <c r="D56" s="40">
        <f>Entry!D57</f>
        <v>4.4187499999970896</v>
      </c>
      <c r="E56" s="32">
        <v>100</v>
      </c>
      <c r="F56" s="32">
        <v>10</v>
      </c>
      <c r="G56" s="44">
        <f>Entry!H57</f>
        <v>18.3</v>
      </c>
      <c r="H56" s="44">
        <f>Entry!I57</f>
        <v>10.3</v>
      </c>
      <c r="I56" s="43">
        <v>1</v>
      </c>
      <c r="J56" s="48">
        <f>Entry!$J$3</f>
        <v>1.9438</v>
      </c>
      <c r="K56" s="36">
        <f t="shared" si="4"/>
        <v>1.83</v>
      </c>
      <c r="L56" s="36">
        <f t="shared" si="0"/>
        <v>1.7766990291262135</v>
      </c>
      <c r="M56" s="36"/>
      <c r="N56" s="36"/>
      <c r="O56" s="36">
        <f t="shared" si="1"/>
        <v>1.55504</v>
      </c>
      <c r="P56" s="36">
        <f t="shared" si="2"/>
        <v>0.1267357600000002</v>
      </c>
      <c r="Q56" s="36">
        <f t="shared" si="3"/>
        <v>1.6817757600000003</v>
      </c>
      <c r="R56" s="36"/>
      <c r="S56" s="37"/>
      <c r="T56" s="49"/>
      <c r="U56" s="49"/>
    </row>
    <row r="57" spans="1:21">
      <c r="A57" s="49">
        <f>Entry!B58</f>
        <v>529</v>
      </c>
      <c r="B57" s="50" t="s">
        <v>18</v>
      </c>
      <c r="C57" s="51">
        <f>Entry!C58</f>
        <v>42420.586805555555</v>
      </c>
      <c r="D57" s="40">
        <f>Entry!D58</f>
        <v>4.4187499999970896</v>
      </c>
      <c r="E57" s="32">
        <v>100</v>
      </c>
      <c r="F57" s="32">
        <v>10</v>
      </c>
      <c r="G57" s="44">
        <f>Entry!H58</f>
        <v>17.8</v>
      </c>
      <c r="H57" s="44">
        <f>Entry!I58</f>
        <v>9.85</v>
      </c>
      <c r="I57" s="43">
        <v>1</v>
      </c>
      <c r="J57" s="48">
        <f>Entry!$J$3</f>
        <v>1.9438</v>
      </c>
      <c r="K57" s="36">
        <f t="shared" si="4"/>
        <v>1.7800000000000002</v>
      </c>
      <c r="L57" s="36">
        <f t="shared" si="0"/>
        <v>1.8071065989847717</v>
      </c>
      <c r="M57" s="36"/>
      <c r="N57" s="36"/>
      <c r="O57" s="36">
        <f t="shared" si="1"/>
        <v>1.5453210000000004</v>
      </c>
      <c r="P57" s="36">
        <f t="shared" si="2"/>
        <v>6.2979119999999625E-2</v>
      </c>
      <c r="Q57" s="36">
        <f t="shared" si="3"/>
        <v>1.60830012</v>
      </c>
      <c r="R57" s="36"/>
      <c r="S57" s="37"/>
      <c r="T57" s="49"/>
      <c r="U57" s="49"/>
    </row>
    <row r="58" spans="1:21">
      <c r="A58" s="49">
        <f>Entry!B59</f>
        <v>530</v>
      </c>
      <c r="B58" s="50" t="s">
        <v>18</v>
      </c>
      <c r="C58" s="51">
        <f>Entry!C59</f>
        <v>42420.586805555555</v>
      </c>
      <c r="D58" s="40">
        <f>Entry!D59</f>
        <v>4.4187499999970896</v>
      </c>
      <c r="E58" s="32">
        <v>100</v>
      </c>
      <c r="F58" s="32">
        <v>10</v>
      </c>
      <c r="G58" s="44">
        <f>Entry!H59</f>
        <v>17.2</v>
      </c>
      <c r="H58" s="44">
        <f>Entry!I59</f>
        <v>10</v>
      </c>
      <c r="I58" s="43">
        <v>1</v>
      </c>
      <c r="J58" s="48">
        <f>Entry!$J$3</f>
        <v>1.9438</v>
      </c>
      <c r="K58" s="36">
        <f t="shared" si="4"/>
        <v>1.72</v>
      </c>
      <c r="L58" s="36">
        <f t="shared" si="0"/>
        <v>1.72</v>
      </c>
      <c r="M58" s="36">
        <f t="shared" si="5"/>
        <v>1.7766666666666666</v>
      </c>
      <c r="N58" s="36">
        <f t="shared" si="6"/>
        <v>1.7679352093703284</v>
      </c>
      <c r="O58" s="36">
        <f t="shared" si="1"/>
        <v>1.3995359999999999</v>
      </c>
      <c r="P58" s="36">
        <f t="shared" si="2"/>
        <v>0.23325600000000055</v>
      </c>
      <c r="Q58" s="36">
        <f t="shared" si="3"/>
        <v>1.6327920000000005</v>
      </c>
      <c r="R58" s="36">
        <f t="shared" si="7"/>
        <v>1.499965666666667</v>
      </c>
      <c r="S58" s="37">
        <f t="shared" si="8"/>
        <v>0.14099029333333346</v>
      </c>
      <c r="T58" s="49">
        <f t="shared" si="9"/>
        <v>1.6409559600000003</v>
      </c>
      <c r="U58" s="49">
        <f t="shared" si="10"/>
        <v>8.711029330873224E-2</v>
      </c>
    </row>
    <row r="59" spans="1:21">
      <c r="A59" s="49">
        <f>Entry!B60</f>
        <v>531</v>
      </c>
      <c r="B59" s="50" t="s">
        <v>18</v>
      </c>
      <c r="C59" s="51">
        <f>Entry!C60</f>
        <v>42420.600694444445</v>
      </c>
      <c r="D59" s="40">
        <f>Entry!D60</f>
        <v>4.4326388888875954</v>
      </c>
      <c r="E59" s="32">
        <v>100</v>
      </c>
      <c r="F59" s="32">
        <v>10</v>
      </c>
      <c r="G59" s="44">
        <f>Entry!H60</f>
        <v>13.7</v>
      </c>
      <c r="H59" s="44">
        <f>Entry!I60</f>
        <v>7.62</v>
      </c>
      <c r="I59" s="43">
        <v>1</v>
      </c>
      <c r="J59" s="48">
        <f>Entry!$J$3</f>
        <v>1.9438</v>
      </c>
      <c r="K59" s="36">
        <f t="shared" si="4"/>
        <v>1.37</v>
      </c>
      <c r="L59" s="36">
        <f t="shared" si="0"/>
        <v>1.7979002624671916</v>
      </c>
      <c r="M59" s="36"/>
      <c r="N59" s="36"/>
      <c r="O59" s="36">
        <f t="shared" si="1"/>
        <v>1.1818303999999997</v>
      </c>
      <c r="P59" s="36">
        <f t="shared" si="2"/>
        <v>6.2357104000000385E-2</v>
      </c>
      <c r="Q59" s="36">
        <f t="shared" si="3"/>
        <v>1.2441875040000001</v>
      </c>
      <c r="R59" s="36"/>
      <c r="S59" s="37"/>
      <c r="T59" s="49"/>
      <c r="U59" s="49"/>
    </row>
    <row r="60" spans="1:21">
      <c r="A60" s="49">
        <f>Entry!B61</f>
        <v>532</v>
      </c>
      <c r="B60" s="50" t="s">
        <v>18</v>
      </c>
      <c r="C60" s="51">
        <f>Entry!C61</f>
        <v>42420.600694444445</v>
      </c>
      <c r="D60" s="40">
        <f>Entry!D61</f>
        <v>4.4326388888875954</v>
      </c>
      <c r="E60" s="32">
        <v>100</v>
      </c>
      <c r="F60" s="32">
        <v>10</v>
      </c>
      <c r="G60" s="44" t="str">
        <f>Entry!H61</f>
        <v>!=E61-IF(G61="h",$L$15,IF(G61="m",$L$16,IF(G61="l",$L$17,-99)))</v>
      </c>
      <c r="H60" s="44" t="str">
        <f>Entry!I61</f>
        <v>!=F61-IF(G61="h",$L$15,IF(G61="m",$L$16,IF(G61="l",$L$17,-99)))</v>
      </c>
      <c r="I60" s="43">
        <v>1</v>
      </c>
      <c r="J60" s="48">
        <f>Entry!$J$3</f>
        <v>1.9438</v>
      </c>
      <c r="K60" s="36" t="e">
        <f t="shared" si="4"/>
        <v>#VALUE!</v>
      </c>
      <c r="L60" s="36" t="e">
        <f t="shared" si="0"/>
        <v>#VALUE!</v>
      </c>
      <c r="M60" s="36"/>
      <c r="N60" s="36"/>
      <c r="O60" s="36" t="e">
        <f t="shared" si="1"/>
        <v>#VALUE!</v>
      </c>
      <c r="P60" s="36" t="e">
        <f t="shared" si="2"/>
        <v>#VALUE!</v>
      </c>
      <c r="Q60" s="36" t="e">
        <f t="shared" si="3"/>
        <v>#VALUE!</v>
      </c>
      <c r="R60" s="36"/>
      <c r="S60" s="37"/>
      <c r="T60" s="49"/>
      <c r="U60" s="49"/>
    </row>
    <row r="61" spans="1:21">
      <c r="A61" s="49">
        <f>Entry!B62</f>
        <v>533</v>
      </c>
      <c r="B61" s="50" t="s">
        <v>18</v>
      </c>
      <c r="C61" s="51">
        <f>Entry!C62</f>
        <v>42420.600694444445</v>
      </c>
      <c r="D61" s="40">
        <f>Entry!D62</f>
        <v>4.4326388888875954</v>
      </c>
      <c r="E61" s="32">
        <v>100</v>
      </c>
      <c r="F61" s="32">
        <v>10</v>
      </c>
      <c r="G61" s="44">
        <f>Entry!H62</f>
        <v>13.9</v>
      </c>
      <c r="H61" s="44">
        <f>Entry!I62</f>
        <v>7.79</v>
      </c>
      <c r="I61" s="43">
        <v>1</v>
      </c>
      <c r="J61" s="48">
        <f>Entry!$J$3</f>
        <v>1.9438</v>
      </c>
      <c r="K61" s="36">
        <f t="shared" si="4"/>
        <v>1.3900000000000001</v>
      </c>
      <c r="L61" s="36">
        <f t="shared" si="0"/>
        <v>1.7843388960205393</v>
      </c>
      <c r="M61" s="36" t="e">
        <f t="shared" si="5"/>
        <v>#VALUE!</v>
      </c>
      <c r="N61" s="36" t="e">
        <f t="shared" si="6"/>
        <v>#VALUE!</v>
      </c>
      <c r="O61" s="36">
        <f t="shared" si="1"/>
        <v>1.1876618000000001</v>
      </c>
      <c r="P61" s="36">
        <f t="shared" si="2"/>
        <v>8.4283168000000047E-2</v>
      </c>
      <c r="Q61" s="36">
        <f t="shared" si="3"/>
        <v>1.2719449680000001</v>
      </c>
      <c r="R61" s="36" t="e">
        <f t="shared" si="7"/>
        <v>#VALUE!</v>
      </c>
      <c r="S61" s="37" t="e">
        <f t="shared" si="8"/>
        <v>#VALUE!</v>
      </c>
      <c r="T61" s="49" t="e">
        <f t="shared" si="9"/>
        <v>#VALUE!</v>
      </c>
      <c r="U61" s="49" t="e">
        <f t="shared" si="10"/>
        <v>#VALUE!</v>
      </c>
    </row>
    <row r="62" spans="1:21">
      <c r="A62" s="49"/>
    </row>
  </sheetData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58"/>
  <sheetViews>
    <sheetView workbookViewId="0">
      <selection activeCell="F32" sqref="F32"/>
    </sheetView>
  </sheetViews>
  <sheetFormatPr defaultRowHeight="12.5"/>
  <cols>
    <col min="1" max="1" width="9.1796875" style="23" customWidth="1"/>
    <col min="2" max="2" width="9.1796875" style="24" customWidth="1"/>
    <col min="3" max="6" width="9.1796875" style="25" customWidth="1"/>
  </cols>
  <sheetData>
    <row r="1" spans="1:6">
      <c r="A1" s="23" t="s">
        <v>24</v>
      </c>
    </row>
    <row r="2" spans="1:6">
      <c r="A2" s="23" t="s">
        <v>25</v>
      </c>
    </row>
    <row r="3" spans="1:6">
      <c r="A3" s="23" t="s">
        <v>26</v>
      </c>
    </row>
    <row r="4" spans="1:6">
      <c r="A4" s="23" t="s">
        <v>27</v>
      </c>
    </row>
    <row r="5" spans="1:6">
      <c r="A5" s="23" t="s">
        <v>28</v>
      </c>
    </row>
    <row r="6" spans="1:6">
      <c r="A6" s="23" t="str">
        <f>CONCATENATE("/cruise=s",TEXT(Results!$C$2,"yymmdd"),"w")</f>
        <v>/cruise=s200217w</v>
      </c>
    </row>
    <row r="7" spans="1:6">
      <c r="A7" s="23" t="s">
        <v>29</v>
      </c>
    </row>
    <row r="8" spans="1:6">
      <c r="A8" s="25" t="e">
        <f>CONCATENATE("/east_longitude=",TEXT(MAX(Results!#REF!),"0.0000"),"[DEG]")</f>
        <v>#REF!</v>
      </c>
      <c r="F8"/>
    </row>
    <row r="9" spans="1:6">
      <c r="A9" s="25" t="e">
        <f>CONCATENATE("/west_longitude=",TEXT(MIN(Results!#REF!),"0.0000"),"[DEG]")</f>
        <v>#REF!</v>
      </c>
      <c r="F9"/>
    </row>
    <row r="10" spans="1:6">
      <c r="A10" s="25" t="e">
        <f>CONCATENATE("/north_latitude=",TEXT(MAX(Results!#REF!),"0.0000"),"[DEG]")</f>
        <v>#REF!</v>
      </c>
      <c r="F10"/>
    </row>
    <row r="11" spans="1:6">
      <c r="A11" s="25" t="e">
        <f>CONCATENATE("/south_latitude=",TEXT(MIN(Results!#REF!),"0.0000"),"[DEG]")</f>
        <v>#REF!</v>
      </c>
      <c r="F11"/>
    </row>
    <row r="12" spans="1:6">
      <c r="A12" s="25" t="str">
        <f>CONCATENATE("/start_date=",TEXT(MIN(Results!$C$2:$C$10),"yyyymmdd"))</f>
        <v>/start_date=20200217</v>
      </c>
      <c r="F12"/>
    </row>
    <row r="13" spans="1:6">
      <c r="A13" s="25" t="str">
        <f>CONCATENATE("/end_date=",TEXT(MAX(Results!$C$2:$C$10),"yyyymmdd"))</f>
        <v>/end_date=20200218</v>
      </c>
      <c r="F13"/>
    </row>
    <row r="14" spans="1:6">
      <c r="A14" s="25" t="str">
        <f>CONCATENATE("/start_time=",TEXT(MIN(Results!$D$2:$D$10)+4/24,"hh:mm:ss"),"[GMT]")</f>
        <v>/start_time=04:00:00[GMT]</v>
      </c>
      <c r="F14"/>
    </row>
    <row r="15" spans="1:6">
      <c r="A15" s="25" t="str">
        <f>CONCATENATE("/end_time=",TEXT(MAX(Results!$D$2:$D$10)+4/24,"hh:mm:ss"),"[GMT]")</f>
        <v>/end_time=06:27:00[GMT]</v>
      </c>
      <c r="F15"/>
    </row>
    <row r="16" spans="1:6">
      <c r="A16" s="23" t="s">
        <v>30</v>
      </c>
      <c r="F16"/>
    </row>
    <row r="17" spans="1:6">
      <c r="A17" s="23" t="s">
        <v>31</v>
      </c>
    </row>
    <row r="18" spans="1:6">
      <c r="A18" s="23" t="s">
        <v>32</v>
      </c>
    </row>
    <row r="19" spans="1:6">
      <c r="A19" s="23" t="s">
        <v>33</v>
      </c>
    </row>
    <row r="20" spans="1:6">
      <c r="A20" s="25" t="str">
        <f>CONCATENATE("/data_file_name=chl-s",TEXT($A$32,"yymmdd"),"w.xls")</f>
        <v>/data_file_name=chl-s200217w.xls</v>
      </c>
    </row>
    <row r="21" spans="1:6">
      <c r="A21" s="23" t="s">
        <v>34</v>
      </c>
    </row>
    <row r="22" spans="1:6">
      <c r="A22" s="23" t="s">
        <v>35</v>
      </c>
    </row>
    <row r="23" spans="1:6">
      <c r="A23" s="23" t="s">
        <v>36</v>
      </c>
    </row>
    <row r="24" spans="1:6">
      <c r="A24" s="23" t="s">
        <v>37</v>
      </c>
    </row>
    <row r="25" spans="1:6">
      <c r="A25" s="23" t="s">
        <v>38</v>
      </c>
    </row>
    <row r="26" spans="1:6">
      <c r="A26" s="23" t="s">
        <v>39</v>
      </c>
    </row>
    <row r="27" spans="1:6">
      <c r="A27" s="23" t="s">
        <v>40</v>
      </c>
    </row>
    <row r="28" spans="1:6">
      <c r="A28" s="23" t="s">
        <v>41</v>
      </c>
    </row>
    <row r="29" spans="1:6">
      <c r="A29" s="23" t="s">
        <v>42</v>
      </c>
    </row>
    <row r="30" spans="1:6">
      <c r="A30" s="23" t="s">
        <v>43</v>
      </c>
    </row>
    <row r="31" spans="1:6">
      <c r="A31" s="23" t="s">
        <v>44</v>
      </c>
    </row>
    <row r="32" spans="1:6">
      <c r="A32" s="23">
        <f>Results!C2</f>
        <v>42416.168055555558</v>
      </c>
      <c r="B32" s="24">
        <f>Results!D2+4/24</f>
        <v>0.16666666666666666</v>
      </c>
      <c r="C32" s="25" t="e">
        <f>Results!#REF!</f>
        <v>#REF!</v>
      </c>
      <c r="D32" s="25" t="e">
        <f>Results!#REF!</f>
        <v>#REF!</v>
      </c>
      <c r="E32" s="25">
        <f>Results!K2</f>
        <v>0.78100000000000014</v>
      </c>
      <c r="F32" s="25" t="str">
        <f>LEFT(Results!A2,LEN(Results!A2)-1)</f>
        <v>40</v>
      </c>
    </row>
    <row r="33" spans="1:6">
      <c r="A33" s="23" t="e">
        <f>Results!#REF!</f>
        <v>#REF!</v>
      </c>
      <c r="B33" s="24" t="e">
        <f>Results!#REF!+4/24</f>
        <v>#REF!</v>
      </c>
      <c r="C33" s="25" t="e">
        <f>Results!#REF!</f>
        <v>#REF!</v>
      </c>
      <c r="D33" s="25" t="e">
        <f>Results!#REF!</f>
        <v>#REF!</v>
      </c>
      <c r="E33" s="25" t="e">
        <f>Results!#REF!</f>
        <v>#REF!</v>
      </c>
      <c r="F33" s="25" t="e">
        <f>LEFT(Results!#REF!,LEN(Results!#REF!)-1)</f>
        <v>#REF!</v>
      </c>
    </row>
    <row r="34" spans="1:6">
      <c r="A34" s="23" t="e">
        <f>Results!#REF!</f>
        <v>#REF!</v>
      </c>
      <c r="B34" s="24" t="e">
        <f>Results!#REF!+4/24</f>
        <v>#REF!</v>
      </c>
      <c r="C34" s="25" t="e">
        <f>Results!#REF!</f>
        <v>#REF!</v>
      </c>
      <c r="D34" s="25" t="e">
        <f>Results!#REF!</f>
        <v>#REF!</v>
      </c>
      <c r="E34" s="25" t="e">
        <f>Results!#REF!</f>
        <v>#REF!</v>
      </c>
      <c r="F34" s="25" t="e">
        <f>LEFT(Results!#REF!,LEN(Results!#REF!)-1)</f>
        <v>#REF!</v>
      </c>
    </row>
    <row r="35" spans="1:6">
      <c r="A35" s="23">
        <f>Results!C3</f>
        <v>42416.168055555558</v>
      </c>
      <c r="B35" s="24">
        <f>Results!D3+4/24</f>
        <v>0.16666666666666666</v>
      </c>
      <c r="C35" s="25" t="e">
        <f>Results!#REF!</f>
        <v>#REF!</v>
      </c>
      <c r="D35" s="25" t="e">
        <f>Results!#REF!</f>
        <v>#REF!</v>
      </c>
      <c r="E35" s="25">
        <f>Results!M3</f>
        <v>0</v>
      </c>
      <c r="F35" s="25" t="str">
        <f>LEFT(Results!A3,LEN(Results!A3)-1)</f>
        <v>40</v>
      </c>
    </row>
    <row r="36" spans="1:6">
      <c r="A36" s="23" t="e">
        <f>Results!#REF!</f>
        <v>#REF!</v>
      </c>
      <c r="B36" s="24" t="e">
        <f>Results!#REF!+4/24</f>
        <v>#REF!</v>
      </c>
      <c r="C36" s="25" t="e">
        <f>Results!#REF!</f>
        <v>#REF!</v>
      </c>
      <c r="D36" s="25" t="e">
        <f>Results!#REF!</f>
        <v>#REF!</v>
      </c>
      <c r="E36" s="25" t="e">
        <f>Results!#REF!</f>
        <v>#REF!</v>
      </c>
      <c r="F36" s="25" t="e">
        <f>LEFT(Results!#REF!,LEN(Results!#REF!)-1)</f>
        <v>#REF!</v>
      </c>
    </row>
    <row r="37" spans="1:6">
      <c r="A37" s="23" t="e">
        <f>Results!#REF!</f>
        <v>#REF!</v>
      </c>
      <c r="B37" s="24" t="e">
        <f>Results!#REF!+4/24</f>
        <v>#REF!</v>
      </c>
      <c r="C37" s="25" t="e">
        <f>Results!#REF!</f>
        <v>#REF!</v>
      </c>
      <c r="D37" s="25" t="e">
        <f>Results!#REF!</f>
        <v>#REF!</v>
      </c>
      <c r="E37" s="25" t="e">
        <f>Results!#REF!</f>
        <v>#REF!</v>
      </c>
      <c r="F37" s="25" t="e">
        <f>LEFT(Results!#REF!,LEN(Results!#REF!)-1)</f>
        <v>#REF!</v>
      </c>
    </row>
    <row r="38" spans="1:6">
      <c r="A38" s="23">
        <f>Results!C4</f>
        <v>42416.168055555558</v>
      </c>
      <c r="B38" s="24">
        <f>Results!D4+4/24</f>
        <v>0.16666666666666666</v>
      </c>
      <c r="C38" s="25" t="e">
        <f>Results!#REF!</f>
        <v>#REF!</v>
      </c>
      <c r="D38" s="25" t="e">
        <f>Results!#REF!</f>
        <v>#REF!</v>
      </c>
      <c r="E38" s="25" t="e">
        <f>Results!M4</f>
        <v>#VALUE!</v>
      </c>
      <c r="F38" s="25" t="str">
        <f>LEFT(Results!A4,LEN(Results!A4)-1)</f>
        <v>40</v>
      </c>
    </row>
    <row r="39" spans="1:6">
      <c r="A39" s="23" t="e">
        <f>Results!#REF!</f>
        <v>#REF!</v>
      </c>
      <c r="B39" s="24" t="e">
        <f>Results!#REF!+4/24</f>
        <v>#REF!</v>
      </c>
      <c r="C39" s="25" t="e">
        <f>Results!#REF!</f>
        <v>#REF!</v>
      </c>
      <c r="D39" s="25" t="e">
        <f>Results!#REF!</f>
        <v>#REF!</v>
      </c>
      <c r="E39" s="25" t="e">
        <f>Results!#REF!</f>
        <v>#REF!</v>
      </c>
      <c r="F39" s="25" t="e">
        <f>LEFT(Results!#REF!,LEN(Results!#REF!)-1)</f>
        <v>#REF!</v>
      </c>
    </row>
    <row r="40" spans="1:6">
      <c r="A40" s="23" t="e">
        <f>Results!#REF!</f>
        <v>#REF!</v>
      </c>
      <c r="B40" s="24" t="e">
        <f>Results!#REF!+4/24</f>
        <v>#REF!</v>
      </c>
      <c r="C40" s="25" t="e">
        <f>Results!#REF!</f>
        <v>#REF!</v>
      </c>
      <c r="D40" s="25" t="e">
        <f>Results!#REF!</f>
        <v>#REF!</v>
      </c>
      <c r="E40" s="25" t="e">
        <f>Results!#REF!</f>
        <v>#REF!</v>
      </c>
      <c r="F40" s="25" t="e">
        <f>LEFT(Results!#REF!,LEN(Results!#REF!)-1)</f>
        <v>#REF!</v>
      </c>
    </row>
    <row r="41" spans="1:6">
      <c r="A41" s="23">
        <f>Results!C5</f>
        <v>42416.178472222222</v>
      </c>
      <c r="B41" s="24">
        <f>Results!D5+4/24</f>
        <v>0.177083333330908</v>
      </c>
      <c r="C41" s="25" t="e">
        <f>Results!#REF!</f>
        <v>#REF!</v>
      </c>
      <c r="D41" s="25" t="e">
        <f>Results!#REF!</f>
        <v>#REF!</v>
      </c>
      <c r="E41" s="25" t="e">
        <f>Results!O5</f>
        <v>#VALUE!</v>
      </c>
      <c r="F41" s="25" t="str">
        <f>LEFT(Results!A5,LEN(Results!A5)-1)</f>
        <v>40</v>
      </c>
    </row>
    <row r="42" spans="1:6">
      <c r="A42" s="23" t="e">
        <f>Results!#REF!</f>
        <v>#REF!</v>
      </c>
      <c r="B42" s="24" t="e">
        <f>Results!#REF!+4/24</f>
        <v>#REF!</v>
      </c>
      <c r="C42" s="25" t="e">
        <f>Results!#REF!</f>
        <v>#REF!</v>
      </c>
      <c r="D42" s="25" t="e">
        <f>Results!#REF!</f>
        <v>#REF!</v>
      </c>
      <c r="E42" s="25" t="e">
        <f>Results!#REF!</f>
        <v>#REF!</v>
      </c>
      <c r="F42" s="25" t="e">
        <f>LEFT(Results!#REF!,LEN(Results!#REF!)-1)</f>
        <v>#REF!</v>
      </c>
    </row>
    <row r="43" spans="1:6">
      <c r="A43" s="23" t="e">
        <f>Results!#REF!</f>
        <v>#REF!</v>
      </c>
      <c r="B43" s="24" t="e">
        <f>Results!#REF!+4/24</f>
        <v>#REF!</v>
      </c>
      <c r="C43" s="25" t="e">
        <f>Results!#REF!</f>
        <v>#REF!</v>
      </c>
      <c r="D43" s="25" t="e">
        <f>Results!#REF!</f>
        <v>#REF!</v>
      </c>
      <c r="E43" s="25" t="e">
        <f>Results!#REF!</f>
        <v>#REF!</v>
      </c>
      <c r="F43" s="25" t="e">
        <f>LEFT(Results!#REF!,LEN(Results!#REF!)-1)</f>
        <v>#REF!</v>
      </c>
    </row>
    <row r="44" spans="1:6">
      <c r="A44" s="23">
        <f>Results!C6</f>
        <v>42416.178472222222</v>
      </c>
      <c r="B44" s="24">
        <f>Results!D6+4/24</f>
        <v>0.177083333330908</v>
      </c>
      <c r="C44" s="25" t="e">
        <f>Results!#REF!</f>
        <v>#REF!</v>
      </c>
      <c r="D44" s="25" t="e">
        <f>Results!#REF!</f>
        <v>#REF!</v>
      </c>
      <c r="E44" s="25">
        <f>Results!O6</f>
        <v>0.63562260000000004</v>
      </c>
      <c r="F44" s="25" t="str">
        <f>LEFT(Results!A6,LEN(Results!A6)-1)</f>
        <v>41</v>
      </c>
    </row>
    <row r="45" spans="1:6">
      <c r="A45" s="23" t="e">
        <f>Results!#REF!</f>
        <v>#REF!</v>
      </c>
      <c r="B45" s="24" t="e">
        <f>Results!#REF!+4/24</f>
        <v>#REF!</v>
      </c>
      <c r="C45" s="25" t="e">
        <f>Results!#REF!</f>
        <v>#REF!</v>
      </c>
      <c r="D45" s="25" t="e">
        <f>Results!#REF!</f>
        <v>#REF!</v>
      </c>
      <c r="E45" s="25" t="e">
        <f>Results!#REF!</f>
        <v>#REF!</v>
      </c>
      <c r="F45" s="25" t="e">
        <f>LEFT(Results!#REF!,LEN(Results!#REF!)-1)</f>
        <v>#REF!</v>
      </c>
    </row>
    <row r="46" spans="1:6">
      <c r="A46" s="23" t="e">
        <f>Results!#REF!</f>
        <v>#REF!</v>
      </c>
      <c r="B46" s="24" t="e">
        <f>Results!#REF!+4/24</f>
        <v>#REF!</v>
      </c>
      <c r="C46" s="25" t="e">
        <f>Results!#REF!</f>
        <v>#REF!</v>
      </c>
      <c r="D46" s="25" t="e">
        <f>Results!#REF!</f>
        <v>#REF!</v>
      </c>
      <c r="E46" s="25" t="e">
        <f>Results!#REF!</f>
        <v>#REF!</v>
      </c>
      <c r="F46" s="25" t="e">
        <f>LEFT(Results!#REF!,LEN(Results!#REF!)-1)</f>
        <v>#REF!</v>
      </c>
    </row>
    <row r="47" spans="1:6">
      <c r="A47" s="23">
        <f>Results!C7</f>
        <v>42416.178472222222</v>
      </c>
      <c r="B47" s="24">
        <f>Results!D7+4/24</f>
        <v>0.177083333330908</v>
      </c>
      <c r="C47" s="25" t="e">
        <f>Results!#REF!</f>
        <v>#REF!</v>
      </c>
      <c r="D47" s="25" t="e">
        <f>Results!#REF!</f>
        <v>#REF!</v>
      </c>
      <c r="E47" s="25">
        <f>Results!O7</f>
        <v>0.62201600000000001</v>
      </c>
      <c r="F47" s="25" t="str">
        <f>LEFT(Results!A7,LEN(Results!A7)-1)</f>
        <v>41</v>
      </c>
    </row>
    <row r="48" spans="1:6">
      <c r="A48" s="23" t="e">
        <f>Results!#REF!</f>
        <v>#REF!</v>
      </c>
      <c r="B48" s="24" t="e">
        <f>Results!#REF!+4/24</f>
        <v>#REF!</v>
      </c>
      <c r="C48" s="25" t="e">
        <f>Results!#REF!</f>
        <v>#REF!</v>
      </c>
      <c r="D48" s="25" t="e">
        <f>Results!#REF!</f>
        <v>#REF!</v>
      </c>
      <c r="E48" s="25" t="e">
        <f>Results!#REF!</f>
        <v>#REF!</v>
      </c>
      <c r="F48" s="25" t="e">
        <f>LEFT(Results!#REF!,LEN(Results!#REF!)-1)</f>
        <v>#REF!</v>
      </c>
    </row>
    <row r="49" spans="1:6">
      <c r="A49" s="23" t="e">
        <f>Results!#REF!</f>
        <v>#REF!</v>
      </c>
      <c r="B49" s="24" t="e">
        <f>Results!#REF!+4/24</f>
        <v>#REF!</v>
      </c>
      <c r="C49" s="25" t="e">
        <f>Results!#REF!</f>
        <v>#REF!</v>
      </c>
      <c r="D49" s="25" t="e">
        <f>Results!#REF!</f>
        <v>#REF!</v>
      </c>
      <c r="E49" s="25" t="e">
        <f>Results!#REF!</f>
        <v>#REF!</v>
      </c>
      <c r="F49" s="25" t="e">
        <f>LEFT(Results!#REF!,LEN(Results!#REF!)-1)</f>
        <v>#REF!</v>
      </c>
    </row>
    <row r="50" spans="1:6">
      <c r="A50" s="23">
        <f>Results!C8</f>
        <v>42417.270138888889</v>
      </c>
      <c r="B50" s="24">
        <f>Results!D8+4/24</f>
        <v>1.2687499999980598</v>
      </c>
      <c r="C50" s="25" t="e">
        <f>Results!#REF!</f>
        <v>#REF!</v>
      </c>
      <c r="D50" s="25" t="e">
        <f>Results!#REF!</f>
        <v>#REF!</v>
      </c>
      <c r="E50" s="25">
        <f>Results!O8</f>
        <v>0.85527199999999992</v>
      </c>
      <c r="F50" s="25" t="str">
        <f>LEFT(Results!A8,LEN(Results!A8)-1)</f>
        <v>43</v>
      </c>
    </row>
    <row r="51" spans="1:6">
      <c r="A51" s="23" t="e">
        <f>Results!#REF!</f>
        <v>#REF!</v>
      </c>
      <c r="B51" s="24" t="e">
        <f>Results!#REF!+4/24</f>
        <v>#REF!</v>
      </c>
      <c r="C51" s="25" t="e">
        <f>Results!#REF!</f>
        <v>#REF!</v>
      </c>
      <c r="D51" s="25" t="e">
        <f>Results!#REF!</f>
        <v>#REF!</v>
      </c>
      <c r="E51" s="25" t="e">
        <f>Results!#REF!</f>
        <v>#REF!</v>
      </c>
      <c r="F51" s="25" t="e">
        <f>LEFT(Results!#REF!,LEN(Results!#REF!)-1)</f>
        <v>#REF!</v>
      </c>
    </row>
    <row r="52" spans="1:6">
      <c r="A52" s="23" t="e">
        <f>Results!#REF!</f>
        <v>#REF!</v>
      </c>
      <c r="B52" s="24" t="e">
        <f>Results!#REF!+4/24</f>
        <v>#REF!</v>
      </c>
      <c r="C52" s="25" t="e">
        <f>Results!#REF!</f>
        <v>#REF!</v>
      </c>
      <c r="D52" s="25" t="e">
        <f>Results!#REF!</f>
        <v>#REF!</v>
      </c>
      <c r="E52" s="25" t="e">
        <f>Results!#REF!</f>
        <v>#REF!</v>
      </c>
      <c r="F52" s="25" t="e">
        <f>LEFT(Results!#REF!,LEN(Results!#REF!)-1)</f>
        <v>#REF!</v>
      </c>
    </row>
    <row r="53" spans="1:6">
      <c r="A53" s="23">
        <f>Results!C9</f>
        <v>42417.270138888889</v>
      </c>
      <c r="B53" s="24">
        <f>Results!D9+4/24</f>
        <v>1.2687499999980598</v>
      </c>
      <c r="C53" s="25" t="e">
        <f>Results!#REF!</f>
        <v>#REF!</v>
      </c>
      <c r="D53" s="25" t="e">
        <f>Results!#REF!</f>
        <v>#REF!</v>
      </c>
      <c r="E53" s="25" t="e">
        <f>Results!O9</f>
        <v>#VALUE!</v>
      </c>
      <c r="F53" s="25" t="str">
        <f>LEFT(Results!A9,LEN(Results!A9)-1)</f>
        <v>43</v>
      </c>
    </row>
    <row r="54" spans="1:6">
      <c r="A54" s="23" t="e">
        <f>Results!#REF!</f>
        <v>#REF!</v>
      </c>
      <c r="B54" s="24" t="e">
        <f>Results!#REF!+4/24</f>
        <v>#REF!</v>
      </c>
      <c r="C54" s="25" t="e">
        <f>Results!#REF!</f>
        <v>#REF!</v>
      </c>
      <c r="D54" s="25" t="e">
        <f>Results!#REF!</f>
        <v>#REF!</v>
      </c>
      <c r="E54" s="25" t="e">
        <f>Results!#REF!</f>
        <v>#REF!</v>
      </c>
      <c r="F54" s="25" t="e">
        <f>LEFT(Results!#REF!,LEN(Results!#REF!)-1)</f>
        <v>#REF!</v>
      </c>
    </row>
    <row r="55" spans="1:6">
      <c r="A55" s="23" t="e">
        <f>Results!#REF!</f>
        <v>#REF!</v>
      </c>
      <c r="B55" s="24" t="e">
        <f>Results!#REF!+4/24</f>
        <v>#REF!</v>
      </c>
      <c r="C55" s="25" t="e">
        <f>Results!#REF!</f>
        <v>#REF!</v>
      </c>
      <c r="D55" s="25" t="e">
        <f>Results!#REF!</f>
        <v>#REF!</v>
      </c>
      <c r="E55" s="25" t="e">
        <f>Results!#REF!</f>
        <v>#REF!</v>
      </c>
      <c r="F55" s="25" t="e">
        <f>LEFT(Results!#REF!,LEN(Results!#REF!)-1)</f>
        <v>#REF!</v>
      </c>
    </row>
    <row r="56" spans="1:6">
      <c r="A56" s="23">
        <f>Results!C10</f>
        <v>42417.270138888889</v>
      </c>
      <c r="B56" s="24">
        <f>Results!D10+4/24</f>
        <v>1.2687499999980598</v>
      </c>
      <c r="C56" s="25" t="e">
        <f>Results!#REF!</f>
        <v>#REF!</v>
      </c>
      <c r="D56" s="25" t="e">
        <f>Results!#REF!</f>
        <v>#REF!</v>
      </c>
      <c r="E56" s="25" t="e">
        <f>Results!O10</f>
        <v>#VALUE!</v>
      </c>
      <c r="F56" s="25" t="str">
        <f>LEFT(Results!A10,LEN(Results!A10)-1)</f>
        <v>43</v>
      </c>
    </row>
    <row r="57" spans="1:6">
      <c r="A57" s="23" t="e">
        <f>Results!#REF!</f>
        <v>#REF!</v>
      </c>
      <c r="B57" s="24" t="e">
        <f>Results!#REF!+4/24</f>
        <v>#REF!</v>
      </c>
      <c r="C57" s="25" t="e">
        <f>Results!#REF!</f>
        <v>#REF!</v>
      </c>
      <c r="D57" s="25" t="e">
        <f>Results!#REF!</f>
        <v>#REF!</v>
      </c>
      <c r="E57" s="25" t="e">
        <f>Results!#REF!</f>
        <v>#REF!</v>
      </c>
      <c r="F57" s="25" t="e">
        <f>LEFT(Results!#REF!,LEN(Results!#REF!)-1)</f>
        <v>#REF!</v>
      </c>
    </row>
    <row r="58" spans="1:6">
      <c r="A58" s="23" t="e">
        <f>Results!#REF!</f>
        <v>#REF!</v>
      </c>
      <c r="B58" s="24" t="e">
        <f>Results!#REF!+4/24</f>
        <v>#REF!</v>
      </c>
      <c r="C58" s="25" t="e">
        <f>Results!#REF!</f>
        <v>#REF!</v>
      </c>
      <c r="D58" s="25" t="e">
        <f>Results!#REF!</f>
        <v>#REF!</v>
      </c>
      <c r="E58" s="25" t="e">
        <f>Results!#REF!</f>
        <v>#REF!</v>
      </c>
      <c r="F58" s="25" t="e">
        <f>LEFT(Results!#REF!,LEN(Results!#REF!)-1)</f>
        <v>#REF!</v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A9" sqref="A9:C9"/>
    </sheetView>
  </sheetViews>
  <sheetFormatPr defaultRowHeight="12.5"/>
  <cols>
    <col min="2" max="3" width="9.1796875" style="27" customWidth="1"/>
  </cols>
  <sheetData>
    <row r="1" spans="1:3">
      <c r="A1">
        <f>Entry!B3</f>
        <v>406</v>
      </c>
      <c r="B1" s="27" t="e">
        <f>Entry!#REF!</f>
        <v>#REF!</v>
      </c>
      <c r="C1" s="27" t="e">
        <f>Entry!#REF!</f>
        <v>#REF!</v>
      </c>
    </row>
    <row r="2" spans="1:3">
      <c r="A2">
        <f>Entry!B4</f>
        <v>407</v>
      </c>
      <c r="B2" s="27" t="e">
        <f>Entry!#REF!</f>
        <v>#REF!</v>
      </c>
      <c r="C2" s="27" t="e">
        <f>Entry!#REF!</f>
        <v>#REF!</v>
      </c>
    </row>
    <row r="3" spans="1:3">
      <c r="A3">
        <f>Entry!B5</f>
        <v>408</v>
      </c>
      <c r="B3" s="27" t="e">
        <f>Entry!#REF!</f>
        <v>#REF!</v>
      </c>
      <c r="C3" s="27" t="e">
        <f>Entry!#REF!</f>
        <v>#REF!</v>
      </c>
    </row>
    <row r="4" spans="1:3">
      <c r="A4">
        <f>Entry!B6</f>
        <v>409</v>
      </c>
      <c r="B4" s="27" t="e">
        <f>Entry!#REF!</f>
        <v>#REF!</v>
      </c>
      <c r="C4" s="27" t="e">
        <f>Entry!#REF!</f>
        <v>#REF!</v>
      </c>
    </row>
    <row r="5" spans="1:3">
      <c r="A5">
        <f>Entry!B7</f>
        <v>410</v>
      </c>
      <c r="B5" s="27" t="e">
        <f>Entry!#REF!</f>
        <v>#REF!</v>
      </c>
      <c r="C5" s="27" t="e">
        <f>Entry!#REF!</f>
        <v>#REF!</v>
      </c>
    </row>
    <row r="6" spans="1:3">
      <c r="A6">
        <f>Entry!B8</f>
        <v>411</v>
      </c>
      <c r="B6" s="27" t="e">
        <f>Entry!#REF!</f>
        <v>#REF!</v>
      </c>
      <c r="C6" s="27" t="e">
        <f>Entry!#REF!</f>
        <v>#REF!</v>
      </c>
    </row>
    <row r="7" spans="1:3">
      <c r="A7">
        <f>Entry!B9</f>
        <v>437</v>
      </c>
      <c r="B7" s="27" t="e">
        <f>Entry!#REF!</f>
        <v>#REF!</v>
      </c>
      <c r="C7" s="27" t="e">
        <f>Entry!#REF!</f>
        <v>#REF!</v>
      </c>
    </row>
    <row r="8" spans="1:3">
      <c r="A8">
        <f>Entry!B10</f>
        <v>438</v>
      </c>
      <c r="B8" s="27" t="e">
        <f>Entry!#REF!</f>
        <v>#REF!</v>
      </c>
      <c r="C8" s="27" t="e">
        <f>Entry!#REF!</f>
        <v>#REF!</v>
      </c>
    </row>
    <row r="9" spans="1:3">
      <c r="A9">
        <f>Entry!B11</f>
        <v>439</v>
      </c>
      <c r="B9" s="27" t="e">
        <f>Entry!#REF!</f>
        <v>#REF!</v>
      </c>
      <c r="C9" s="27" t="e">
        <f>Entry!#REF!</f>
        <v>#REF!</v>
      </c>
    </row>
  </sheetData>
  <phoneticPr fontId="6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61"/>
  <sheetViews>
    <sheetView topLeftCell="G1" workbookViewId="0">
      <selection activeCell="W22" sqref="W22"/>
    </sheetView>
  </sheetViews>
  <sheetFormatPr defaultRowHeight="12.5"/>
  <cols>
    <col min="26" max="31" width="10" bestFit="1" customWidth="1"/>
  </cols>
  <sheetData>
    <row r="1" spans="1:31">
      <c r="A1" t="s">
        <v>80</v>
      </c>
      <c r="B1" t="s">
        <v>73</v>
      </c>
      <c r="C1" t="s">
        <v>81</v>
      </c>
      <c r="D1" t="s">
        <v>82</v>
      </c>
      <c r="E1" t="s">
        <v>83</v>
      </c>
      <c r="F1" t="s">
        <v>13</v>
      </c>
      <c r="G1" t="s">
        <v>84</v>
      </c>
      <c r="H1" t="s">
        <v>85</v>
      </c>
      <c r="I1" t="s">
        <v>86</v>
      </c>
      <c r="J1" t="s">
        <v>87</v>
      </c>
      <c r="L1" t="s">
        <v>88</v>
      </c>
      <c r="M1" t="s">
        <v>89</v>
      </c>
      <c r="N1" t="s">
        <v>90</v>
      </c>
      <c r="O1" t="s">
        <v>91</v>
      </c>
      <c r="P1" t="s">
        <v>92</v>
      </c>
      <c r="Q1" t="s">
        <v>93</v>
      </c>
      <c r="R1" t="s">
        <v>94</v>
      </c>
      <c r="S1" t="s">
        <v>95</v>
      </c>
      <c r="T1" t="s">
        <v>96</v>
      </c>
      <c r="U1" t="s">
        <v>97</v>
      </c>
      <c r="V1" t="s">
        <v>98</v>
      </c>
      <c r="W1" t="s">
        <v>99</v>
      </c>
      <c r="X1" t="s">
        <v>100</v>
      </c>
      <c r="Y1" t="s">
        <v>101</v>
      </c>
      <c r="Z1" t="s">
        <v>89</v>
      </c>
      <c r="AA1" t="s">
        <v>91</v>
      </c>
      <c r="AB1" t="s">
        <v>93</v>
      </c>
      <c r="AC1" t="s">
        <v>95</v>
      </c>
      <c r="AD1" t="s">
        <v>97</v>
      </c>
      <c r="AE1" t="s">
        <v>99</v>
      </c>
    </row>
    <row r="2" spans="1:31">
      <c r="A2">
        <f>Entry!B3</f>
        <v>406</v>
      </c>
      <c r="B2" t="str">
        <f>Entry!A3</f>
        <v>control 1</v>
      </c>
      <c r="C2">
        <f>Results!K2</f>
        <v>0.78100000000000014</v>
      </c>
      <c r="F2">
        <f>Results!P2</f>
        <v>0.11639474400000012</v>
      </c>
      <c r="M2">
        <f>D4</f>
        <v>0.78100000000000003</v>
      </c>
      <c r="N2" t="e">
        <f>E4</f>
        <v>#DIV/0!</v>
      </c>
      <c r="O2">
        <f>D7</f>
        <v>0.79600000000000004</v>
      </c>
      <c r="P2">
        <f>E7</f>
        <v>1.9798989873223347E-2</v>
      </c>
      <c r="Q2">
        <f>D4</f>
        <v>0.78100000000000003</v>
      </c>
      <c r="R2" t="e">
        <f>E4</f>
        <v>#DIV/0!</v>
      </c>
      <c r="S2">
        <f>D4</f>
        <v>0.78100000000000003</v>
      </c>
      <c r="T2" t="e">
        <f>E4</f>
        <v>#DIV/0!</v>
      </c>
      <c r="U2">
        <f>D4</f>
        <v>0.78100000000000003</v>
      </c>
      <c r="V2" t="e">
        <f>E4</f>
        <v>#DIV/0!</v>
      </c>
      <c r="W2">
        <f>D4</f>
        <v>0.78100000000000003</v>
      </c>
      <c r="X2" t="s">
        <v>102</v>
      </c>
      <c r="Z2" s="40">
        <f>[1]Entry!D5</f>
        <v>0</v>
      </c>
      <c r="AA2" s="40">
        <f>[1]Entry!D8</f>
        <v>9.3055555553291924E-2</v>
      </c>
      <c r="AB2" s="40">
        <f>[1]Entry!D5</f>
        <v>0</v>
      </c>
      <c r="AC2" s="40">
        <f>[1]Entry!D5</f>
        <v>0</v>
      </c>
      <c r="AD2" s="40">
        <f>[1]Entry!D5</f>
        <v>0</v>
      </c>
      <c r="AE2" s="40">
        <f>[1]Entry!D5</f>
        <v>0</v>
      </c>
    </row>
    <row r="3" spans="1:31">
      <c r="A3" s="49">
        <f>Entry!B4</f>
        <v>407</v>
      </c>
      <c r="B3" s="49" t="str">
        <f>Entry!A4</f>
        <v>control 2</v>
      </c>
      <c r="C3" s="49" t="e">
        <f>Results!K3</f>
        <v>#VALUE!</v>
      </c>
      <c r="F3" s="49" t="e">
        <f>Results!P3</f>
        <v>#VALUE!</v>
      </c>
      <c r="M3">
        <f>D10</f>
        <v>1.05</v>
      </c>
      <c r="N3" t="e">
        <f>E10</f>
        <v>#DIV/0!</v>
      </c>
      <c r="P3" t="e">
        <f>E16</f>
        <v>#DIV/0!</v>
      </c>
      <c r="R3" t="e">
        <f>E13</f>
        <v>#VALUE!</v>
      </c>
      <c r="T3" t="e">
        <f>E19</f>
        <v>#VALUE!</v>
      </c>
      <c r="V3" t="e">
        <f>E22</f>
        <v>#VALUE!</v>
      </c>
      <c r="W3">
        <f>D25</f>
        <v>0.95100000000000007</v>
      </c>
      <c r="X3" t="e">
        <f>E25</f>
        <v>#DIV/0!</v>
      </c>
      <c r="Z3" s="40">
        <f>[1]Entry!D11</f>
        <v>1.0541666666686069</v>
      </c>
      <c r="AA3" s="40">
        <f>[1]Entry!D17</f>
        <v>1.0541666666686069</v>
      </c>
      <c r="AB3" s="40">
        <f>[1]Entry!D14</f>
        <v>1.0541666666686069</v>
      </c>
      <c r="AC3" s="40">
        <f>[1]Entry!D20</f>
        <v>1.0541666666686069</v>
      </c>
      <c r="AD3" s="40">
        <f>[1]Entry!D23</f>
        <v>1.0541666666686069</v>
      </c>
      <c r="AE3" s="40">
        <f>[1]Entry!D26</f>
        <v>1.0541666666686069</v>
      </c>
    </row>
    <row r="4" spans="1:31">
      <c r="A4" s="49">
        <f>Entry!B5</f>
        <v>408</v>
      </c>
      <c r="B4" s="49" t="str">
        <f>Entry!A5</f>
        <v>control 3</v>
      </c>
      <c r="C4" s="49" t="e">
        <f>Results!K4</f>
        <v>#VALUE!</v>
      </c>
      <c r="D4">
        <v>0.78100000000000003</v>
      </c>
      <c r="E4" t="e">
        <f>_xlfn.STDEV.S(D4)</f>
        <v>#DIV/0!</v>
      </c>
      <c r="F4" s="49" t="e">
        <f>Results!P4</f>
        <v>#VALUE!</v>
      </c>
      <c r="G4">
        <f>AVERAGE(F2)</f>
        <v>0.11639474400000012</v>
      </c>
      <c r="H4" t="e">
        <f>_xlfn.STDEV.S(F2)</f>
        <v>#DIV/0!</v>
      </c>
      <c r="I4">
        <f>G4/D4</f>
        <v>0.14903296286811796</v>
      </c>
      <c r="J4" t="e">
        <f>(SQRT((E4/D4)^2+(H4/G4)^2))*I4</f>
        <v>#DIV/0!</v>
      </c>
      <c r="M4">
        <f>D28</f>
        <v>1.4233333333333336</v>
      </c>
      <c r="N4">
        <f>E28</f>
        <v>1.5275252316519505E-2</v>
      </c>
      <c r="O4">
        <f>D34</f>
        <v>1.7566666666666668</v>
      </c>
      <c r="P4">
        <f>E34</f>
        <v>0.12055427546683428</v>
      </c>
      <c r="Q4">
        <f>D31</f>
        <v>1.5</v>
      </c>
      <c r="R4">
        <f>E31</f>
        <v>0.14142135623730948</v>
      </c>
      <c r="S4">
        <f>D37</f>
        <v>1.4433333333333334</v>
      </c>
      <c r="T4">
        <f>E37</f>
        <v>3.785938897200173E-2</v>
      </c>
      <c r="U4">
        <f>D40</f>
        <v>1.406666666666667</v>
      </c>
      <c r="V4">
        <f>E40</f>
        <v>4.1633319989322654E-2</v>
      </c>
      <c r="W4">
        <f>D43</f>
        <v>1.3450000000000002</v>
      </c>
      <c r="X4">
        <f>E43</f>
        <v>9.1923881554251255E-2</v>
      </c>
      <c r="Z4" s="40">
        <f>[1]Entry!D29</f>
        <v>2.0645833333328483</v>
      </c>
      <c r="AA4" s="40">
        <f>[1]Entry!D35</f>
        <v>2.1062499999970896</v>
      </c>
      <c r="AB4" s="40">
        <f>[1]Entry!D32</f>
        <v>2.0854166666686069</v>
      </c>
      <c r="AC4" s="40">
        <f>[1]Entry!D38</f>
        <v>2.1270833333328483</v>
      </c>
      <c r="AD4" s="40">
        <f>[1]Entry!D41</f>
        <v>2.1444444444423425</v>
      </c>
      <c r="AE4" s="40">
        <f>[1]Entry!D44</f>
        <v>2.1652777777781012</v>
      </c>
    </row>
    <row r="5" spans="1:31">
      <c r="A5" s="49">
        <f>Entry!B6</f>
        <v>409</v>
      </c>
      <c r="B5" s="49" t="str">
        <f>Entry!A6</f>
        <v>SAMW 4</v>
      </c>
      <c r="C5" s="49" t="e">
        <f>Results!K5</f>
        <v>#VALUE!</v>
      </c>
      <c r="F5" s="49" t="e">
        <f>Results!P5</f>
        <v>#VALUE!</v>
      </c>
      <c r="M5">
        <f>D46</f>
        <v>1.3233333333333335</v>
      </c>
      <c r="N5">
        <f>E46</f>
        <v>8.3864970836060718E-2</v>
      </c>
      <c r="O5">
        <f>D52</f>
        <v>1.4900000000000002</v>
      </c>
      <c r="P5">
        <f>E52</f>
        <v>8.4852813742385624E-2</v>
      </c>
      <c r="Q5">
        <f>D49</f>
        <v>1.7850000000000001</v>
      </c>
      <c r="R5">
        <f>E49</f>
        <v>0.13435028842544414</v>
      </c>
      <c r="S5">
        <f>D55</f>
        <v>1.51</v>
      </c>
      <c r="T5">
        <f>E55</f>
        <v>1.4142135623730963E-2</v>
      </c>
      <c r="U5">
        <f>D58</f>
        <v>1.7766666666666666</v>
      </c>
      <c r="V5">
        <f>E58</f>
        <v>5.5075705472861079E-2</v>
      </c>
      <c r="W5">
        <f>D61</f>
        <v>1.3800000000000001</v>
      </c>
      <c r="X5">
        <f>E61</f>
        <v>1.4142135623730963E-2</v>
      </c>
      <c r="Z5" s="40">
        <f>[1]Entry!D47</f>
        <v>5.0645833333328483</v>
      </c>
      <c r="AA5" s="40">
        <f>[1]Entry!D53</f>
        <v>5.1062499999970896</v>
      </c>
      <c r="AB5" s="40">
        <f>[1]Entry!D50</f>
        <v>5.0854166666686069</v>
      </c>
      <c r="AC5" s="40">
        <f>[1]Entry!D56</f>
        <v>5.1270833333328483</v>
      </c>
      <c r="AD5" s="40">
        <f>[1]Entry!D59</f>
        <v>5.1444444444423425</v>
      </c>
      <c r="AE5" s="40">
        <f>[1]Entry!D62</f>
        <v>5.1652777777781012</v>
      </c>
    </row>
    <row r="6" spans="1:31">
      <c r="A6" s="49">
        <f>Entry!B7</f>
        <v>410</v>
      </c>
      <c r="B6" s="49" t="str">
        <f>Entry!A7</f>
        <v>SAMW 5</v>
      </c>
      <c r="C6" s="49">
        <f>Results!K6</f>
        <v>0.81</v>
      </c>
      <c r="F6" s="49">
        <f>Results!P6</f>
        <v>0.15301593600000007</v>
      </c>
    </row>
    <row r="7" spans="1:31">
      <c r="A7" s="49">
        <f>Entry!B8</f>
        <v>411</v>
      </c>
      <c r="B7" s="49" t="str">
        <f>Entry!A8</f>
        <v>SAMW 6</v>
      </c>
      <c r="C7" s="49">
        <f>Results!K7</f>
        <v>0.78200000000000003</v>
      </c>
      <c r="D7">
        <f>AVERAGE(C6:C7)</f>
        <v>0.79600000000000004</v>
      </c>
      <c r="E7">
        <f>_xlfn.STDEV.S(C6:C7)</f>
        <v>1.9798989873223347E-2</v>
      </c>
      <c r="F7" s="49">
        <f>Results!P7</f>
        <v>0.13233390399999995</v>
      </c>
      <c r="G7">
        <f>AVERAGE(F6:F7)</f>
        <v>0.14267492000000001</v>
      </c>
      <c r="H7">
        <f>_xlfn.STDEV.S(F6:F7)</f>
        <v>1.4624405075917264E-2</v>
      </c>
      <c r="I7">
        <f t="shared" ref="I7:I61" si="0">G7/D7</f>
        <v>0.17923984924623115</v>
      </c>
      <c r="J7">
        <f>(SQRT((E7/D7)^2+(H7/G7)^2))*I7</f>
        <v>1.8905552532861268E-2</v>
      </c>
    </row>
    <row r="8" spans="1:31">
      <c r="A8" s="49">
        <f>Entry!B9</f>
        <v>437</v>
      </c>
      <c r="B8" s="49" t="str">
        <f>Entry!A9</f>
        <v>control 1</v>
      </c>
      <c r="C8" s="49">
        <f>Results!K8</f>
        <v>1.05</v>
      </c>
      <c r="F8" s="49">
        <f>Results!P8</f>
        <v>0.1407311200000004</v>
      </c>
    </row>
    <row r="9" spans="1:31">
      <c r="A9" s="49">
        <f>Entry!B10</f>
        <v>438</v>
      </c>
      <c r="B9" s="49" t="str">
        <f>Entry!A10</f>
        <v>control 2</v>
      </c>
      <c r="C9" s="49" t="e">
        <f>Results!K9</f>
        <v>#VALUE!</v>
      </c>
      <c r="F9" s="49" t="e">
        <f>Results!P9</f>
        <v>#VALUE!</v>
      </c>
    </row>
    <row r="10" spans="1:31">
      <c r="A10" s="49">
        <f>Entry!B11</f>
        <v>439</v>
      </c>
      <c r="B10" s="49" t="str">
        <f>Entry!A11</f>
        <v>control 3</v>
      </c>
      <c r="C10" s="49" t="e">
        <f>Results!K10</f>
        <v>#VALUE!</v>
      </c>
      <c r="D10">
        <f>AVERAGE(C8)</f>
        <v>1.05</v>
      </c>
      <c r="E10" t="e">
        <f>_xlfn.STDEV.S(D10)</f>
        <v>#DIV/0!</v>
      </c>
      <c r="F10" s="49" t="e">
        <f>Results!P10</f>
        <v>#VALUE!</v>
      </c>
      <c r="G10">
        <f>AVERAGE(F8)</f>
        <v>0.1407311200000004</v>
      </c>
      <c r="H10" t="e">
        <f>_xlfn.STDEV.S(F8)</f>
        <v>#DIV/0!</v>
      </c>
      <c r="I10">
        <f t="shared" si="0"/>
        <v>0.13402963809523846</v>
      </c>
      <c r="J10" t="e">
        <f>(SQRT((E10/D10)^2+(H10/G10)^2))*I10</f>
        <v>#DIV/0!</v>
      </c>
      <c r="L10" t="s">
        <v>103</v>
      </c>
      <c r="M10" t="s">
        <v>89</v>
      </c>
      <c r="O10" t="s">
        <v>91</v>
      </c>
      <c r="Q10" t="s">
        <v>93</v>
      </c>
      <c r="S10" t="s">
        <v>95</v>
      </c>
      <c r="U10" t="s">
        <v>97</v>
      </c>
      <c r="W10" t="s">
        <v>99</v>
      </c>
    </row>
    <row r="11" spans="1:31">
      <c r="A11" s="49">
        <f>Entry!B12</f>
        <v>440</v>
      </c>
      <c r="B11" s="49" t="str">
        <f>Entry!A12</f>
        <v>NO3 4</v>
      </c>
      <c r="C11" s="49" t="e">
        <f>Results!K11</f>
        <v>#VALUE!</v>
      </c>
      <c r="F11" s="49" t="e">
        <f>Results!P11</f>
        <v>#VALUE!</v>
      </c>
      <c r="M11">
        <f>G4</f>
        <v>0.11639474400000012</v>
      </c>
      <c r="N11" t="e">
        <f>H4</f>
        <v>#DIV/0!</v>
      </c>
      <c r="O11">
        <f>G7</f>
        <v>0.14267492000000001</v>
      </c>
      <c r="P11">
        <f>H7</f>
        <v>1.4624405075917264E-2</v>
      </c>
      <c r="R11" t="e">
        <f>E13</f>
        <v>#VALUE!</v>
      </c>
      <c r="T11" t="e">
        <f>E13</f>
        <v>#VALUE!</v>
      </c>
      <c r="V11" t="e">
        <f>E13</f>
        <v>#VALUE!</v>
      </c>
      <c r="X11" t="e">
        <f>E13</f>
        <v>#VALUE!</v>
      </c>
      <c r="Z11" s="40">
        <v>0</v>
      </c>
      <c r="AA11" s="40">
        <v>9.3055555553291924E-2</v>
      </c>
      <c r="AB11" s="40">
        <v>0</v>
      </c>
      <c r="AC11" s="40">
        <v>0</v>
      </c>
      <c r="AD11" s="40">
        <v>0</v>
      </c>
      <c r="AE11" s="40">
        <v>0</v>
      </c>
    </row>
    <row r="12" spans="1:31">
      <c r="A12" s="49">
        <f>Entry!B13</f>
        <v>441</v>
      </c>
      <c r="B12" s="49" t="str">
        <f>Entry!A13</f>
        <v>NO3 5</v>
      </c>
      <c r="C12" s="49" t="e">
        <f>Results!K12</f>
        <v>#VALUE!</v>
      </c>
      <c r="F12" s="49" t="e">
        <f>Results!P12</f>
        <v>#VALUE!</v>
      </c>
      <c r="M12">
        <f>G10</f>
        <v>0.1407311200000004</v>
      </c>
      <c r="N12" t="e">
        <f>H10</f>
        <v>#DIV/0!</v>
      </c>
      <c r="O12">
        <f>G16</f>
        <v>9.6490232000000259E-2</v>
      </c>
      <c r="P12" t="e">
        <f>H16</f>
        <v>#DIV/0!</v>
      </c>
      <c r="R12" t="e">
        <f>H13</f>
        <v>#VALUE!</v>
      </c>
      <c r="T12" t="e">
        <f>H19</f>
        <v>#VALUE!</v>
      </c>
      <c r="V12" t="e">
        <f>H22</f>
        <v>#VALUE!</v>
      </c>
      <c r="W12">
        <f>G25</f>
        <v>9.3535656000000245E-2</v>
      </c>
      <c r="X12" t="e">
        <f>H25</f>
        <v>#DIV/0!</v>
      </c>
      <c r="Z12" s="40">
        <v>1.0541666666686069</v>
      </c>
      <c r="AA12" s="40">
        <v>1.0541666666686069</v>
      </c>
      <c r="AB12" s="40">
        <v>1.0541666666686069</v>
      </c>
      <c r="AC12" s="40">
        <v>1.0541666666686069</v>
      </c>
      <c r="AD12" s="40">
        <v>1.0541666666686069</v>
      </c>
      <c r="AE12" s="40">
        <v>1.0541666666686069</v>
      </c>
    </row>
    <row r="13" spans="1:31">
      <c r="A13" s="49">
        <f>Entry!B14</f>
        <v>442</v>
      </c>
      <c r="B13" s="49" t="str">
        <f>Entry!A14</f>
        <v>NO3 6</v>
      </c>
      <c r="C13" s="49" t="e">
        <f>Results!K13</f>
        <v>#VALUE!</v>
      </c>
      <c r="D13" t="e">
        <f>AVERAGE(C11:C13)</f>
        <v>#VALUE!</v>
      </c>
      <c r="E13" t="e">
        <f>_xlfn.STDEV.S(C11:C13)</f>
        <v>#VALUE!</v>
      </c>
      <c r="F13" s="49" t="e">
        <f>Results!P13</f>
        <v>#VALUE!</v>
      </c>
      <c r="G13" t="e">
        <f>AVERAGE(F11:F13)</f>
        <v>#VALUE!</v>
      </c>
      <c r="H13" t="e">
        <f>_xlfn.STDEV.S(F11:F13)</f>
        <v>#VALUE!</v>
      </c>
      <c r="I13" t="e">
        <f t="shared" si="0"/>
        <v>#VALUE!</v>
      </c>
      <c r="J13" t="e">
        <f>(SQRT((E13/D13)^2+(H13/G13)^2))*I13</f>
        <v>#VALUE!</v>
      </c>
      <c r="M13">
        <f>G28</f>
        <v>0.16493790933333338</v>
      </c>
      <c r="N13">
        <f>H28</f>
        <v>9.756352850577946E-3</v>
      </c>
      <c r="O13">
        <f>G34</f>
        <v>0.20371023999999968</v>
      </c>
      <c r="P13">
        <f>H34</f>
        <v>2.6263608221384446E-2</v>
      </c>
      <c r="Q13">
        <f>G31</f>
        <v>0.16732230400000025</v>
      </c>
      <c r="R13">
        <f>H31</f>
        <v>6.8173918399009777E-3</v>
      </c>
      <c r="S13">
        <f>G37</f>
        <v>0.13798388266666703</v>
      </c>
      <c r="T13">
        <f>H37</f>
        <v>2.1734060012030498E-2</v>
      </c>
      <c r="U13">
        <f>G40</f>
        <v>0.12461053866666688</v>
      </c>
      <c r="V13">
        <f>H40</f>
        <v>1.4137471787424792E-2</v>
      </c>
      <c r="W13">
        <f>G43</f>
        <v>0.13241165600000027</v>
      </c>
      <c r="X13">
        <f>H43</f>
        <v>1.6493689935247957E-3</v>
      </c>
      <c r="Z13" s="40">
        <v>2.0645833333328483</v>
      </c>
      <c r="AA13" s="40">
        <v>2.1062499999970896</v>
      </c>
      <c r="AB13" s="40">
        <v>2.0854166666686069</v>
      </c>
      <c r="AC13" s="40">
        <v>2.1270833333328483</v>
      </c>
      <c r="AD13" s="40">
        <v>2.1444444444423425</v>
      </c>
      <c r="AE13" s="40">
        <v>2.1652777777781012</v>
      </c>
    </row>
    <row r="14" spans="1:31">
      <c r="A14" s="49">
        <f>Entry!B15</f>
        <v>443</v>
      </c>
      <c r="B14" s="49" t="str">
        <f>Entry!A15</f>
        <v>SAMW 7</v>
      </c>
      <c r="C14" s="49">
        <f>Results!K14</f>
        <v>0.90900000000000003</v>
      </c>
      <c r="F14" s="49">
        <f>Results!P14</f>
        <v>9.6490232000000259E-2</v>
      </c>
      <c r="M14">
        <f>G46</f>
        <v>0.16975853333333343</v>
      </c>
      <c r="N14">
        <f>H46</f>
        <v>3.8785806724024131E-2</v>
      </c>
      <c r="O14">
        <f>G52</f>
        <v>0.1706656400000002</v>
      </c>
      <c r="P14">
        <f>H52</f>
        <v>3.9914729643293144E-2</v>
      </c>
      <c r="Q14">
        <f>G49</f>
        <v>0.1891706160000004</v>
      </c>
      <c r="R14">
        <f>H49</f>
        <v>2.7159609426703639E-2</v>
      </c>
      <c r="S14">
        <f>G55</f>
        <v>9.6023720000000146E-2</v>
      </c>
      <c r="T14">
        <f>H55</f>
        <v>4.7281911147701878E-3</v>
      </c>
      <c r="U14">
        <f>G58</f>
        <v>0.14099029333333346</v>
      </c>
      <c r="V14">
        <f>H58</f>
        <v>8.6028761214183527E-2</v>
      </c>
      <c r="W14">
        <f>G61</f>
        <v>7.3320136000000216E-2</v>
      </c>
      <c r="X14">
        <f>H61</f>
        <v>1.5504068539130011E-2</v>
      </c>
      <c r="Z14" s="40">
        <v>5.0645833333328483</v>
      </c>
      <c r="AA14" s="40">
        <v>5.1062499999970896</v>
      </c>
      <c r="AB14" s="40">
        <v>5.0854166666686069</v>
      </c>
      <c r="AC14" s="40">
        <v>5.1270833333328483</v>
      </c>
      <c r="AD14" s="40">
        <v>5.1444444444423425</v>
      </c>
      <c r="AE14" s="40">
        <v>5.1652777777781012</v>
      </c>
    </row>
    <row r="15" spans="1:31">
      <c r="A15" s="49">
        <f>Entry!B16</f>
        <v>444</v>
      </c>
      <c r="B15" s="49" t="str">
        <f>Entry!A16</f>
        <v>SAMW 8</v>
      </c>
      <c r="C15" s="49" t="e">
        <f>Results!K15</f>
        <v>#VALUE!</v>
      </c>
      <c r="F15" s="49" t="e">
        <f>Results!P15</f>
        <v>#VALUE!</v>
      </c>
      <c r="Z15" s="40"/>
      <c r="AA15" s="40"/>
      <c r="AB15" s="40"/>
      <c r="AC15" s="40"/>
      <c r="AD15" s="40"/>
      <c r="AE15" s="40"/>
    </row>
    <row r="16" spans="1:31">
      <c r="A16" s="49">
        <f>Entry!B17</f>
        <v>445</v>
      </c>
      <c r="B16" s="49" t="str">
        <f>Entry!A17</f>
        <v>SAMW 9</v>
      </c>
      <c r="C16" s="49" t="e">
        <f>Results!K16</f>
        <v>#VALUE!</v>
      </c>
      <c r="D16">
        <f>AVERAGE(C14)</f>
        <v>0.90900000000000003</v>
      </c>
      <c r="E16" t="e">
        <f>_xlfn.STDEV.S(C14)</f>
        <v>#DIV/0!</v>
      </c>
      <c r="F16" s="49" t="e">
        <f>Results!P16</f>
        <v>#VALUE!</v>
      </c>
      <c r="G16">
        <f>AVERAGE(F14)</f>
        <v>9.6490232000000259E-2</v>
      </c>
      <c r="H16" t="e">
        <f>_xlfn.STDEV.S(F14)</f>
        <v>#DIV/0!</v>
      </c>
      <c r="I16">
        <f t="shared" si="0"/>
        <v>0.10614987018701898</v>
      </c>
      <c r="J16" t="e">
        <f>(SQRT((E16/D16)^2+(H16/G16)^2))*I16</f>
        <v>#DIV/0!</v>
      </c>
      <c r="Z16" s="40"/>
      <c r="AA16" s="40"/>
      <c r="AB16" s="40"/>
      <c r="AC16" s="40"/>
      <c r="AD16" s="40"/>
      <c r="AE16" s="40"/>
    </row>
    <row r="17" spans="1:31">
      <c r="A17" s="49">
        <f>Entry!B18</f>
        <v>446</v>
      </c>
      <c r="B17" s="49" t="str">
        <f>Entry!A18</f>
        <v>Si 10</v>
      </c>
      <c r="C17" s="49" t="e">
        <f>Results!K17</f>
        <v>#VALUE!</v>
      </c>
      <c r="F17" s="49" t="e">
        <f>Results!P17</f>
        <v>#VALUE!</v>
      </c>
      <c r="Z17" s="40"/>
      <c r="AA17" s="40"/>
      <c r="AB17" s="40"/>
      <c r="AC17" s="40"/>
      <c r="AD17" s="40"/>
      <c r="AE17" s="40"/>
    </row>
    <row r="18" spans="1:31">
      <c r="A18" s="49">
        <f>Entry!B19</f>
        <v>447</v>
      </c>
      <c r="B18" s="49" t="str">
        <f>Entry!A19</f>
        <v>Si 11</v>
      </c>
      <c r="C18" s="49" t="e">
        <f>Results!K18</f>
        <v>#VALUE!</v>
      </c>
      <c r="F18" s="49" t="e">
        <f>Results!P18</f>
        <v>#VALUE!</v>
      </c>
      <c r="Z18" s="40"/>
      <c r="AA18" s="40"/>
      <c r="AB18" s="40"/>
      <c r="AC18" s="40"/>
      <c r="AD18" s="40"/>
      <c r="AE18" s="40"/>
    </row>
    <row r="19" spans="1:31">
      <c r="A19" s="49">
        <f>Entry!B20</f>
        <v>448</v>
      </c>
      <c r="B19" s="49" t="str">
        <f>Entry!A20</f>
        <v>Si 12</v>
      </c>
      <c r="C19" s="49" t="e">
        <f>Results!K19</f>
        <v>#VALUE!</v>
      </c>
      <c r="D19" t="e">
        <f>AVERAGE(C17:C19)</f>
        <v>#VALUE!</v>
      </c>
      <c r="E19" t="e">
        <f>_xlfn.STDEV.S(C17:C19)</f>
        <v>#VALUE!</v>
      </c>
      <c r="F19" s="49" t="e">
        <f>Results!P19</f>
        <v>#VALUE!</v>
      </c>
      <c r="G19" t="e">
        <f>AVERAGE(F17:F19)</f>
        <v>#VALUE!</v>
      </c>
      <c r="H19" t="e">
        <f>_xlfn.STDEV.S(F17:F19)</f>
        <v>#VALUE!</v>
      </c>
      <c r="I19" t="e">
        <f t="shared" si="0"/>
        <v>#VALUE!</v>
      </c>
      <c r="J19" t="e">
        <f>(SQRT((E19/D19)^2+(H19/G19)^2))*I19</f>
        <v>#VALUE!</v>
      </c>
      <c r="L19" t="s">
        <v>104</v>
      </c>
      <c r="M19" t="s">
        <v>89</v>
      </c>
      <c r="O19" t="s">
        <v>91</v>
      </c>
      <c r="Q19" t="s">
        <v>93</v>
      </c>
      <c r="S19" t="s">
        <v>95</v>
      </c>
      <c r="U19" t="s">
        <v>97</v>
      </c>
      <c r="W19" t="s">
        <v>99</v>
      </c>
      <c r="Z19" s="40"/>
      <c r="AA19" s="40"/>
      <c r="AB19" s="40"/>
      <c r="AC19" s="40"/>
      <c r="AD19" s="40"/>
      <c r="AE19" s="40"/>
    </row>
    <row r="20" spans="1:31">
      <c r="A20" s="49">
        <f>Entry!B21</f>
        <v>449</v>
      </c>
      <c r="B20" s="49" t="str">
        <f>Entry!A21</f>
        <v>Fe + Si 13</v>
      </c>
      <c r="C20" s="49" t="e">
        <f>Results!K20</f>
        <v>#VALUE!</v>
      </c>
      <c r="F20" s="49" t="e">
        <f>Results!P20</f>
        <v>#VALUE!</v>
      </c>
      <c r="M20">
        <f>I4</f>
        <v>0.14903296286811796</v>
      </c>
      <c r="N20" t="e">
        <f>J4</f>
        <v>#DIV/0!</v>
      </c>
      <c r="O20">
        <f>I7</f>
        <v>0.17923984924623115</v>
      </c>
      <c r="P20">
        <f>J7</f>
        <v>1.8905552532861268E-2</v>
      </c>
      <c r="R20" t="e">
        <f>E22</f>
        <v>#VALUE!</v>
      </c>
      <c r="S20" s="49"/>
      <c r="T20" t="e">
        <f>E22</f>
        <v>#VALUE!</v>
      </c>
      <c r="U20" s="49"/>
      <c r="V20" t="e">
        <f>E22</f>
        <v>#VALUE!</v>
      </c>
      <c r="W20" s="49"/>
      <c r="X20" t="s">
        <v>105</v>
      </c>
      <c r="Z20" s="40">
        <f t="shared" ref="Z20:AE23" si="1">Z2</f>
        <v>0</v>
      </c>
      <c r="AA20" s="40">
        <f t="shared" si="1"/>
        <v>9.3055555553291924E-2</v>
      </c>
      <c r="AB20" s="40">
        <f t="shared" si="1"/>
        <v>0</v>
      </c>
      <c r="AC20" s="40">
        <f t="shared" si="1"/>
        <v>0</v>
      </c>
      <c r="AD20" s="40">
        <f t="shared" si="1"/>
        <v>0</v>
      </c>
      <c r="AE20" s="40">
        <f t="shared" si="1"/>
        <v>0</v>
      </c>
    </row>
    <row r="21" spans="1:31">
      <c r="A21" s="49">
        <f>Entry!B22</f>
        <v>450</v>
      </c>
      <c r="B21" s="49" t="str">
        <f>Entry!A22</f>
        <v>Fe + Si 14</v>
      </c>
      <c r="C21" s="49" t="e">
        <f>Results!K21</f>
        <v>#VALUE!</v>
      </c>
      <c r="F21" s="49" t="e">
        <f>Results!P21</f>
        <v>#VALUE!</v>
      </c>
      <c r="M21">
        <f>I10</f>
        <v>0.13402963809523846</v>
      </c>
      <c r="N21" t="e">
        <f>J10</f>
        <v>#DIV/0!</v>
      </c>
      <c r="O21">
        <f>I16</f>
        <v>0.10614987018701898</v>
      </c>
      <c r="P21" t="e">
        <f>J16</f>
        <v>#DIV/0!</v>
      </c>
      <c r="R21" t="e">
        <f>J13</f>
        <v>#VALUE!</v>
      </c>
      <c r="T21" t="e">
        <f>J19</f>
        <v>#VALUE!</v>
      </c>
      <c r="V21" t="e">
        <f>J22</f>
        <v>#VALUE!</v>
      </c>
      <c r="X21" t="s">
        <v>106</v>
      </c>
      <c r="Z21" s="40">
        <f t="shared" si="1"/>
        <v>1.0541666666686069</v>
      </c>
      <c r="AA21" s="40">
        <f t="shared" si="1"/>
        <v>1.0541666666686069</v>
      </c>
      <c r="AB21" s="40">
        <f t="shared" si="1"/>
        <v>1.0541666666686069</v>
      </c>
      <c r="AC21" s="40">
        <f t="shared" si="1"/>
        <v>1.0541666666686069</v>
      </c>
      <c r="AD21" s="40">
        <f t="shared" si="1"/>
        <v>1.0541666666686069</v>
      </c>
      <c r="AE21" s="40">
        <f t="shared" si="1"/>
        <v>1.0541666666686069</v>
      </c>
    </row>
    <row r="22" spans="1:31">
      <c r="A22" s="49">
        <f>Entry!B23</f>
        <v>451</v>
      </c>
      <c r="B22" s="49" t="str">
        <f>Entry!A23</f>
        <v>Fe + Si 15</v>
      </c>
      <c r="C22" s="49" t="e">
        <f>Results!K22</f>
        <v>#VALUE!</v>
      </c>
      <c r="D22" t="e">
        <f>AVERAGE(C20:C22)</f>
        <v>#VALUE!</v>
      </c>
      <c r="E22" t="e">
        <f>_xlfn.STDEV.S(C20:C22)</f>
        <v>#VALUE!</v>
      </c>
      <c r="F22" s="49" t="e">
        <f>Results!P22</f>
        <v>#VALUE!</v>
      </c>
      <c r="G22" t="e">
        <f>AVERAGE(F20:F22)</f>
        <v>#VALUE!</v>
      </c>
      <c r="H22" t="e">
        <f>_xlfn.STDEV.S(F20:F22)</f>
        <v>#VALUE!</v>
      </c>
      <c r="I22" t="e">
        <f t="shared" si="0"/>
        <v>#VALUE!</v>
      </c>
      <c r="J22" t="e">
        <f>(SQRT((E22/D22)^2+(H22/G22)^2))*I22</f>
        <v>#VALUE!</v>
      </c>
      <c r="M22">
        <f>I28</f>
        <v>0.11588143512880564</v>
      </c>
      <c r="N22">
        <f>J28</f>
        <v>6.9664855197221201E-3</v>
      </c>
      <c r="O22">
        <f>I34</f>
        <v>0.11596408349146091</v>
      </c>
      <c r="P22">
        <f>J34</f>
        <v>1.6936957836119673E-2</v>
      </c>
      <c r="Q22">
        <f>I31</f>
        <v>0.11154820266666683</v>
      </c>
      <c r="R22">
        <f>J31</f>
        <v>1.145691177823382E-2</v>
      </c>
      <c r="S22">
        <f>I37</f>
        <v>9.5600842494226582E-2</v>
      </c>
      <c r="T22">
        <f>J37</f>
        <v>1.5265613552584654E-2</v>
      </c>
      <c r="U22">
        <f>I40</f>
        <v>8.8585690995260799E-2</v>
      </c>
      <c r="V22">
        <f>J40</f>
        <v>1.0386698981016679E-2</v>
      </c>
      <c r="W22">
        <f>I43</f>
        <v>9.8447327881041075E-2</v>
      </c>
      <c r="X22" t="s">
        <v>107</v>
      </c>
      <c r="Z22" s="40">
        <f t="shared" si="1"/>
        <v>2.0645833333328483</v>
      </c>
      <c r="AA22" s="40">
        <f t="shared" si="1"/>
        <v>2.1062499999970896</v>
      </c>
      <c r="AB22" s="40">
        <f t="shared" si="1"/>
        <v>2.0854166666686069</v>
      </c>
      <c r="AC22" s="40">
        <f t="shared" si="1"/>
        <v>2.1270833333328483</v>
      </c>
      <c r="AD22" s="40">
        <f t="shared" si="1"/>
        <v>2.1444444444423425</v>
      </c>
      <c r="AE22" s="40">
        <f t="shared" si="1"/>
        <v>2.1652777777781012</v>
      </c>
    </row>
    <row r="23" spans="1:31">
      <c r="A23" s="49">
        <f>Entry!B24</f>
        <v>452</v>
      </c>
      <c r="B23" s="49" t="str">
        <f>Entry!A24</f>
        <v>Fe 16</v>
      </c>
      <c r="C23" s="49" t="e">
        <f>Results!K23</f>
        <v>#VALUE!</v>
      </c>
      <c r="F23" s="49" t="e">
        <f>Results!P23</f>
        <v>#VALUE!</v>
      </c>
      <c r="M23">
        <f>I46</f>
        <v>0.12828100755667513</v>
      </c>
      <c r="N23">
        <f>J46</f>
        <v>3.0415776291602616E-2</v>
      </c>
      <c r="O23">
        <f>I52</f>
        <v>0.1145406979865773</v>
      </c>
      <c r="P23">
        <f>J52</f>
        <v>2.7571124572051107E-2</v>
      </c>
      <c r="Q23">
        <f>I49</f>
        <v>0.105977936134454</v>
      </c>
      <c r="R23">
        <f>J49</f>
        <v>1.717952325878663E-2</v>
      </c>
      <c r="S23">
        <f>I55</f>
        <v>6.3591867549668973E-2</v>
      </c>
      <c r="T23">
        <f>J55</f>
        <v>3.1873902042219215E-3</v>
      </c>
      <c r="U23">
        <f>I58</f>
        <v>7.9356637898686758E-2</v>
      </c>
      <c r="V23">
        <f>J58</f>
        <v>4.8483890811827413E-2</v>
      </c>
      <c r="W23">
        <f>I61</f>
        <v>5.3130533333333486E-2</v>
      </c>
      <c r="X23">
        <f>J61</f>
        <v>1.1248018145125747E-2</v>
      </c>
      <c r="Z23" s="40">
        <f t="shared" si="1"/>
        <v>5.0645833333328483</v>
      </c>
      <c r="AA23" s="40">
        <f t="shared" si="1"/>
        <v>5.1062499999970896</v>
      </c>
      <c r="AB23" s="40">
        <f t="shared" si="1"/>
        <v>5.0854166666686069</v>
      </c>
      <c r="AC23" s="40">
        <f t="shared" si="1"/>
        <v>5.1270833333328483</v>
      </c>
      <c r="AD23" s="40">
        <f t="shared" si="1"/>
        <v>5.1444444444423425</v>
      </c>
      <c r="AE23" s="40">
        <f t="shared" si="1"/>
        <v>5.1652777777781012</v>
      </c>
    </row>
    <row r="24" spans="1:31">
      <c r="A24" s="49">
        <f>Entry!B25</f>
        <v>453</v>
      </c>
      <c r="B24" s="49" t="str">
        <f>Entry!A25</f>
        <v>Fe 17</v>
      </c>
      <c r="C24" s="49" t="e">
        <f>Results!K24</f>
        <v>#VALUE!</v>
      </c>
      <c r="F24" s="49" t="e">
        <f>Results!P24</f>
        <v>#VALUE!</v>
      </c>
    </row>
    <row r="25" spans="1:31">
      <c r="A25" s="49">
        <f>Entry!B26</f>
        <v>454</v>
      </c>
      <c r="B25" s="49" t="str">
        <f>Entry!A26</f>
        <v>Fe 18</v>
      </c>
      <c r="C25" s="49">
        <f>Results!K25</f>
        <v>0.95100000000000007</v>
      </c>
      <c r="D25">
        <f>AVERAGE(C25)</f>
        <v>0.95100000000000007</v>
      </c>
      <c r="E25" t="e">
        <f>_xlfn.STDEV.S(C25)</f>
        <v>#DIV/0!</v>
      </c>
      <c r="F25" s="49">
        <f>Results!P25</f>
        <v>9.3535656000000245E-2</v>
      </c>
      <c r="G25">
        <f>AVERAGE(F25)</f>
        <v>9.3535656000000245E-2</v>
      </c>
      <c r="H25" t="e">
        <f>_xlfn.STDEV.S(F25)</f>
        <v>#DIV/0!</v>
      </c>
      <c r="I25">
        <f t="shared" si="0"/>
        <v>9.8355053627760508E-2</v>
      </c>
      <c r="J25" t="e">
        <f>(SQRT((E25/D25)^2+(H25/G25)^2))*I25</f>
        <v>#DIV/0!</v>
      </c>
    </row>
    <row r="26" spans="1:31">
      <c r="A26" s="49">
        <f>Entry!B27</f>
        <v>498</v>
      </c>
      <c r="B26" s="49" t="str">
        <f>Entry!A27</f>
        <v>control 1</v>
      </c>
      <c r="C26" s="49">
        <f>Results!K26</f>
        <v>1.4400000000000002</v>
      </c>
      <c r="F26" s="49">
        <f>Results!P26</f>
        <v>0.16592276799999969</v>
      </c>
      <c r="L26" t="s">
        <v>108</v>
      </c>
    </row>
    <row r="27" spans="1:31">
      <c r="A27" s="49">
        <f>Entry!B28</f>
        <v>499</v>
      </c>
      <c r="B27" s="49" t="str">
        <f>Entry!A28</f>
        <v>control 2</v>
      </c>
      <c r="C27" s="49">
        <f>Results!K27</f>
        <v>1.4100000000000001</v>
      </c>
      <c r="F27" s="49">
        <f>Results!P27</f>
        <v>0.17416448000000018</v>
      </c>
    </row>
    <row r="28" spans="1:31">
      <c r="A28" s="49">
        <f>Entry!B29</f>
        <v>500</v>
      </c>
      <c r="B28" s="49" t="str">
        <f>Entry!A29</f>
        <v>control 3</v>
      </c>
      <c r="C28" s="49">
        <f>Results!K28</f>
        <v>1.42</v>
      </c>
      <c r="D28">
        <f>AVERAGE(C26:C28)</f>
        <v>1.4233333333333336</v>
      </c>
      <c r="E28">
        <f>_xlfn.STDEV.S(C26:C28)</f>
        <v>1.5275252316519505E-2</v>
      </c>
      <c r="F28" s="49">
        <f>Results!P28</f>
        <v>0.15472648000000022</v>
      </c>
      <c r="G28">
        <f>AVERAGE(F26:F28)</f>
        <v>0.16493790933333338</v>
      </c>
      <c r="H28">
        <f>_xlfn.STDEV.S(F26:F28)</f>
        <v>9.756352850577946E-3</v>
      </c>
      <c r="I28">
        <f t="shared" si="0"/>
        <v>0.11588143512880564</v>
      </c>
      <c r="J28">
        <f>(SQRT((E28/D28)^2+(H28/G28)^2))*I28</f>
        <v>6.9664855197221201E-3</v>
      </c>
    </row>
    <row r="29" spans="1:31">
      <c r="A29" s="49">
        <f>Entry!B30</f>
        <v>501</v>
      </c>
      <c r="B29" s="49" t="str">
        <f>Entry!A30</f>
        <v>NO3 4</v>
      </c>
      <c r="C29" s="49">
        <f>Results!K29</f>
        <v>1.4000000000000001</v>
      </c>
      <c r="F29" s="49">
        <f>Results!P29</f>
        <v>0.17214292800000006</v>
      </c>
    </row>
    <row r="30" spans="1:31">
      <c r="A30" s="49">
        <f>Entry!B31</f>
        <v>502</v>
      </c>
      <c r="B30" s="49" t="str">
        <f>Entry!A31</f>
        <v>NO3 5</v>
      </c>
      <c r="C30" s="49" t="e">
        <f>Results!K30</f>
        <v>#VALUE!</v>
      </c>
      <c r="F30" s="49" t="e">
        <f>Results!P30</f>
        <v>#VALUE!</v>
      </c>
    </row>
    <row r="31" spans="1:31">
      <c r="A31" s="49">
        <f>Entry!B32</f>
        <v>503</v>
      </c>
      <c r="B31" s="49" t="str">
        <f>Entry!A32</f>
        <v>NO3 6</v>
      </c>
      <c r="C31" s="49">
        <f>Results!K31</f>
        <v>1.6</v>
      </c>
      <c r="D31">
        <f>AVERAGE(C29, C31)</f>
        <v>1.5</v>
      </c>
      <c r="E31">
        <f>_xlfn.STDEV.S(C29,C31)</f>
        <v>0.14142135623730948</v>
      </c>
      <c r="F31" s="49">
        <f>Results!P31</f>
        <v>0.16250168000000043</v>
      </c>
      <c r="G31">
        <f>AVERAGE(F29,F31)</f>
        <v>0.16732230400000025</v>
      </c>
      <c r="H31">
        <f>_xlfn.STDEV.S(F29,F31)</f>
        <v>6.8173918399009777E-3</v>
      </c>
      <c r="I31">
        <f t="shared" si="0"/>
        <v>0.11154820266666683</v>
      </c>
      <c r="J31">
        <f>(SQRT((E31/D31)^2+(H31/G31)^2))*I31</f>
        <v>1.145691177823382E-2</v>
      </c>
    </row>
    <row r="32" spans="1:31">
      <c r="A32" s="49">
        <f>Entry!B33</f>
        <v>504</v>
      </c>
      <c r="B32" s="49" t="str">
        <f>Entry!A33</f>
        <v>SAMW 7</v>
      </c>
      <c r="C32" s="49">
        <f>Results!K32</f>
        <v>1.8700000000000003</v>
      </c>
      <c r="F32" s="49">
        <f>Results!P32</f>
        <v>0.22781335999999941</v>
      </c>
    </row>
    <row r="33" spans="1:10">
      <c r="A33" s="49">
        <f>Entry!B34</f>
        <v>505</v>
      </c>
      <c r="B33" s="49" t="str">
        <f>Entry!A34</f>
        <v>SAMW 8</v>
      </c>
      <c r="C33" s="49">
        <f>Results!K33</f>
        <v>1.7700000000000005</v>
      </c>
      <c r="F33" s="49">
        <f>Results!P33</f>
        <v>0.20759783999999959</v>
      </c>
    </row>
    <row r="34" spans="1:10">
      <c r="A34" s="49">
        <f>Entry!B35</f>
        <v>506</v>
      </c>
      <c r="B34" s="49" t="str">
        <f>Entry!A35</f>
        <v>SAMW 9</v>
      </c>
      <c r="C34" s="49">
        <f>Results!K34</f>
        <v>1.6300000000000001</v>
      </c>
      <c r="D34">
        <f>AVERAGE(C32:C34)</f>
        <v>1.7566666666666668</v>
      </c>
      <c r="E34">
        <f>_xlfn.STDEV.S(C32:C34)</f>
        <v>0.12055427546683428</v>
      </c>
      <c r="F34" s="49">
        <f>Results!P34</f>
        <v>0.17571951999999999</v>
      </c>
      <c r="G34">
        <f>AVERAGE(F32:F34)</f>
        <v>0.20371023999999968</v>
      </c>
      <c r="H34">
        <f>_xlfn.STDEV.S(F32:F34)</f>
        <v>2.6263608221384446E-2</v>
      </c>
      <c r="I34">
        <f t="shared" si="0"/>
        <v>0.11596408349146091</v>
      </c>
      <c r="J34">
        <f>(SQRT((E34/D34)^2+(H34/G34)^2))*I34</f>
        <v>1.6936957836119673E-2</v>
      </c>
    </row>
    <row r="35" spans="1:10">
      <c r="A35" s="49">
        <f>Entry!B36</f>
        <v>507</v>
      </c>
      <c r="B35" s="49" t="str">
        <f>Entry!A36</f>
        <v>Si 10</v>
      </c>
      <c r="C35" s="49">
        <f>Results!K35</f>
        <v>1.47</v>
      </c>
      <c r="F35" s="49">
        <f>Results!P35</f>
        <v>0.11476195200000049</v>
      </c>
    </row>
    <row r="36" spans="1:10">
      <c r="A36" s="49">
        <f>Entry!B37</f>
        <v>508</v>
      </c>
      <c r="B36" s="49" t="str">
        <f>Entry!A37</f>
        <v>Si 11</v>
      </c>
      <c r="C36" s="49">
        <f>Results!K36</f>
        <v>1.4000000000000001</v>
      </c>
      <c r="F36" s="49">
        <f>Results!P36</f>
        <v>0.15783656000000024</v>
      </c>
    </row>
    <row r="37" spans="1:10">
      <c r="A37" s="49">
        <f>Entry!B38</f>
        <v>509</v>
      </c>
      <c r="B37" s="49" t="str">
        <f>Entry!A38</f>
        <v>Si 12</v>
      </c>
      <c r="C37" s="49">
        <f>Results!K37</f>
        <v>1.46</v>
      </c>
      <c r="D37">
        <f>AVERAGE(C35:C37)</f>
        <v>1.4433333333333334</v>
      </c>
      <c r="E37">
        <f>_xlfn.STDEV.S(C35:C37)</f>
        <v>3.785938897200173E-2</v>
      </c>
      <c r="F37" s="49">
        <f>Results!P37</f>
        <v>0.14135313600000032</v>
      </c>
      <c r="G37">
        <f>AVERAGE(F35:F37)</f>
        <v>0.13798388266666703</v>
      </c>
      <c r="H37">
        <f>_xlfn.STDEV.S(F35:F37)</f>
        <v>2.1734060012030498E-2</v>
      </c>
      <c r="I37">
        <f t="shared" si="0"/>
        <v>9.5600842494226582E-2</v>
      </c>
      <c r="J37">
        <f>(SQRT((E37/D37)^2+(H37/G37)^2))*I37</f>
        <v>1.5265613552584654E-2</v>
      </c>
    </row>
    <row r="38" spans="1:10">
      <c r="A38" s="49">
        <f>Entry!B39</f>
        <v>510</v>
      </c>
      <c r="B38" s="49" t="str">
        <f>Entry!A39</f>
        <v>Fe + Si 13</v>
      </c>
      <c r="C38" s="49">
        <f>Results!K38</f>
        <v>1.4400000000000002</v>
      </c>
      <c r="F38" s="49">
        <f>Results!P38</f>
        <v>0.14088662399999968</v>
      </c>
    </row>
    <row r="39" spans="1:10">
      <c r="A39" s="49">
        <f>Entry!B40</f>
        <v>511</v>
      </c>
      <c r="B39" s="49" t="str">
        <f>Entry!A40</f>
        <v>Fe + Si 14</v>
      </c>
      <c r="C39" s="49">
        <f>Results!K39</f>
        <v>1.42</v>
      </c>
      <c r="F39" s="49">
        <f>Results!P39</f>
        <v>0.11538396800000075</v>
      </c>
    </row>
    <row r="40" spans="1:10">
      <c r="A40" s="49">
        <f>Entry!B41</f>
        <v>512</v>
      </c>
      <c r="B40" s="49" t="str">
        <f>Entry!A41</f>
        <v>Fe + Si 15</v>
      </c>
      <c r="C40" s="49">
        <f>Results!K40</f>
        <v>1.36</v>
      </c>
      <c r="D40">
        <f>AVERAGE(C38:C40)</f>
        <v>1.406666666666667</v>
      </c>
      <c r="E40">
        <f>_xlfn.STDEV.S(C38:C40)</f>
        <v>4.1633319989322654E-2</v>
      </c>
      <c r="F40" s="49">
        <f>Results!P40</f>
        <v>0.11756102400000018</v>
      </c>
      <c r="G40">
        <f>AVERAGE(F38:F40)</f>
        <v>0.12461053866666688</v>
      </c>
      <c r="H40">
        <f>_xlfn.STDEV.S(F38:F40)</f>
        <v>1.4137471787424792E-2</v>
      </c>
      <c r="I40">
        <f t="shared" si="0"/>
        <v>8.8585690995260799E-2</v>
      </c>
      <c r="J40">
        <f>(SQRT((E40/D40)^2+(H40/G40)^2))*I40</f>
        <v>1.0386698981016679E-2</v>
      </c>
    </row>
    <row r="41" spans="1:10">
      <c r="A41" s="49">
        <f>Entry!B42</f>
        <v>513</v>
      </c>
      <c r="B41" s="49" t="str">
        <f>Entry!A42</f>
        <v>Fe 16</v>
      </c>
      <c r="C41" s="49">
        <f>Results!K41</f>
        <v>1.4100000000000001</v>
      </c>
      <c r="F41" s="49">
        <f>Results!P41</f>
        <v>0.13124537600000005</v>
      </c>
    </row>
    <row r="42" spans="1:10">
      <c r="A42" s="49">
        <f>Entry!B43</f>
        <v>514</v>
      </c>
      <c r="B42" s="49" t="str">
        <f>Entry!A43</f>
        <v>Fe 17</v>
      </c>
      <c r="C42" s="49" t="e">
        <f>Results!K42</f>
        <v>#VALUE!</v>
      </c>
      <c r="F42" s="49" t="e">
        <f>Results!P42</f>
        <v>#VALUE!</v>
      </c>
    </row>
    <row r="43" spans="1:10">
      <c r="A43" s="49">
        <f>Entry!B44</f>
        <v>515</v>
      </c>
      <c r="B43" s="49" t="str">
        <f>Entry!A44</f>
        <v>Fe 18</v>
      </c>
      <c r="C43" s="49">
        <f>Results!K43</f>
        <v>1.28</v>
      </c>
      <c r="D43">
        <f>AVERAGE(C41,C43)</f>
        <v>1.3450000000000002</v>
      </c>
      <c r="E43">
        <f>_xlfn.STDEV.S(C41,C43)</f>
        <v>9.1923881554251255E-2</v>
      </c>
      <c r="F43" s="49">
        <f>Results!P43</f>
        <v>0.13357793600000048</v>
      </c>
      <c r="G43">
        <f>AVERAGE(F41,F43)</f>
        <v>0.13241165600000027</v>
      </c>
      <c r="H43">
        <f>_xlfn.STDEV.S(F41,F43)</f>
        <v>1.6493689935247957E-3</v>
      </c>
      <c r="I43">
        <f t="shared" si="0"/>
        <v>9.8447327881041075E-2</v>
      </c>
      <c r="J43">
        <f>(SQRT((E43/D43)^2+(H43/G43)^2))*I43</f>
        <v>6.8392101092447886E-3</v>
      </c>
    </row>
    <row r="44" spans="1:10">
      <c r="A44" s="49">
        <f>Entry!B45</f>
        <v>516</v>
      </c>
      <c r="B44" s="49" t="str">
        <f>Entry!A45</f>
        <v>control 1</v>
      </c>
      <c r="C44" s="49">
        <f>Results!K44</f>
        <v>1.42</v>
      </c>
      <c r="F44" s="49">
        <f>Results!P44</f>
        <v>0.20122217599999992</v>
      </c>
    </row>
    <row r="45" spans="1:10">
      <c r="A45" s="49">
        <f>Entry!B46</f>
        <v>517</v>
      </c>
      <c r="B45" s="49" t="str">
        <f>Entry!A46</f>
        <v>control 2</v>
      </c>
      <c r="C45" s="49">
        <f>Results!K45</f>
        <v>1.2800000000000002</v>
      </c>
      <c r="F45" s="49">
        <f>Results!P45</f>
        <v>0.12642475199999989</v>
      </c>
    </row>
    <row r="46" spans="1:10">
      <c r="A46" s="49">
        <f>Entry!B47</f>
        <v>518</v>
      </c>
      <c r="B46" s="49" t="str">
        <f>Entry!A47</f>
        <v>control 3</v>
      </c>
      <c r="C46" s="49">
        <f>Results!K46</f>
        <v>1.27</v>
      </c>
      <c r="D46">
        <f>AVERAGE(C44:C46)</f>
        <v>1.3233333333333335</v>
      </c>
      <c r="E46">
        <f>_xlfn.STDEV.S(C44:C46)</f>
        <v>8.3864970836060718E-2</v>
      </c>
      <c r="F46" s="49">
        <f>Results!P46</f>
        <v>0.18162867200000038</v>
      </c>
      <c r="G46">
        <f>AVERAGE(F44:F46)</f>
        <v>0.16975853333333343</v>
      </c>
      <c r="H46">
        <f>_xlfn.STDEV.S(F44:F46)</f>
        <v>3.8785806724024131E-2</v>
      </c>
      <c r="I46">
        <f t="shared" si="0"/>
        <v>0.12828100755667513</v>
      </c>
      <c r="J46">
        <f>(SQRT((E46/D46)^2+(H46/G46)^2))*I46</f>
        <v>3.0415776291602616E-2</v>
      </c>
    </row>
    <row r="47" spans="1:10">
      <c r="A47" s="49">
        <f>Entry!B48</f>
        <v>519</v>
      </c>
      <c r="B47" s="49" t="str">
        <f>Entry!A48</f>
        <v>NO3 4</v>
      </c>
      <c r="C47" s="49">
        <f>Results!K47</f>
        <v>1.8800000000000001</v>
      </c>
      <c r="F47" s="49">
        <f>Results!P47</f>
        <v>0.20837536000000056</v>
      </c>
    </row>
    <row r="48" spans="1:10">
      <c r="A48" s="49">
        <f>Entry!B49</f>
        <v>520</v>
      </c>
      <c r="B48" s="49" t="str">
        <f>Entry!A49</f>
        <v>NO3 5</v>
      </c>
      <c r="C48" s="49">
        <f>Results!K48</f>
        <v>1.69</v>
      </c>
      <c r="F48" s="49">
        <f>Results!P48</f>
        <v>0.16996587200000027</v>
      </c>
    </row>
    <row r="49" spans="1:10">
      <c r="A49" s="49">
        <f>Entry!B50</f>
        <v>521</v>
      </c>
      <c r="B49" s="49" t="str">
        <f>Entry!A50</f>
        <v>NO3 6</v>
      </c>
      <c r="C49" s="49" t="e">
        <f>Results!K49</f>
        <v>#VALUE!</v>
      </c>
      <c r="D49">
        <f>AVERAGE(C47:C48)</f>
        <v>1.7850000000000001</v>
      </c>
      <c r="E49">
        <f>_xlfn.STDEV.S(C47:C48)</f>
        <v>0.13435028842544414</v>
      </c>
      <c r="F49" s="49" t="e">
        <f>Results!P49</f>
        <v>#VALUE!</v>
      </c>
      <c r="G49">
        <f>AVERAGE(F47:F48)</f>
        <v>0.1891706160000004</v>
      </c>
      <c r="H49">
        <f>_xlfn.STDEV.S(F47:F48)</f>
        <v>2.7159609426703639E-2</v>
      </c>
      <c r="I49">
        <f t="shared" si="0"/>
        <v>0.105977936134454</v>
      </c>
      <c r="J49">
        <f>(SQRT((E49/D49)^2+(H49/G49)^2))*I49</f>
        <v>1.717952325878663E-2</v>
      </c>
    </row>
    <row r="50" spans="1:10">
      <c r="A50" s="49">
        <f>Entry!B51</f>
        <v>522</v>
      </c>
      <c r="B50" s="49" t="str">
        <f>Entry!A51</f>
        <v>SAMW 7</v>
      </c>
      <c r="C50" s="49" t="e">
        <f>Results!K50</f>
        <v>#VALUE!</v>
      </c>
      <c r="F50" s="49" t="e">
        <f>Results!P50</f>
        <v>#VALUE!</v>
      </c>
    </row>
    <row r="51" spans="1:10">
      <c r="A51" s="49">
        <f>Entry!B52</f>
        <v>523</v>
      </c>
      <c r="B51" s="49" t="str">
        <f>Entry!A52</f>
        <v>SAMW 8</v>
      </c>
      <c r="C51" s="49">
        <f>Results!K51</f>
        <v>1.4300000000000002</v>
      </c>
      <c r="F51" s="49">
        <f>Results!P51</f>
        <v>0.14244166399999986</v>
      </c>
    </row>
    <row r="52" spans="1:10">
      <c r="A52" s="49">
        <f>Entry!B53</f>
        <v>524</v>
      </c>
      <c r="B52" s="49" t="str">
        <f>Entry!A53</f>
        <v>SAMW 9</v>
      </c>
      <c r="C52" s="49">
        <f>Results!K52</f>
        <v>1.55</v>
      </c>
      <c r="D52">
        <f>AVERAGE(C51:C52)</f>
        <v>1.4900000000000002</v>
      </c>
      <c r="E52">
        <f>_xlfn.STDEV.S(C51:C52)</f>
        <v>8.4852813742385624E-2</v>
      </c>
      <c r="F52" s="49">
        <f>Results!P52</f>
        <v>0.19888961600000055</v>
      </c>
      <c r="G52">
        <f>AVERAGE(F51:F52)</f>
        <v>0.1706656400000002</v>
      </c>
      <c r="H52">
        <f>_xlfn.STDEV.S(F51:F52)</f>
        <v>3.9914729643293144E-2</v>
      </c>
      <c r="I52">
        <f t="shared" si="0"/>
        <v>0.1145406979865773</v>
      </c>
      <c r="J52">
        <f>(SQRT((E52/D52)^2+(H52/G52)^2))*I52</f>
        <v>2.7571124572051107E-2</v>
      </c>
    </row>
    <row r="53" spans="1:10">
      <c r="A53" s="49">
        <f>Entry!B54</f>
        <v>525</v>
      </c>
      <c r="B53" s="49" t="str">
        <f>Entry!A54</f>
        <v>Si 10</v>
      </c>
      <c r="C53" s="49">
        <f>Results!K53</f>
        <v>1.52</v>
      </c>
      <c r="F53" s="49">
        <f>Results!P53</f>
        <v>9.2680384000000157E-2</v>
      </c>
    </row>
    <row r="54" spans="1:10">
      <c r="A54" s="49">
        <f>Entry!B55</f>
        <v>526</v>
      </c>
      <c r="B54" s="49" t="str">
        <f>Entry!A55</f>
        <v>Si 11</v>
      </c>
      <c r="C54" s="49" t="e">
        <f>Results!K54</f>
        <v>#VALUE!</v>
      </c>
      <c r="F54" s="49" t="e">
        <f>Results!P54</f>
        <v>#VALUE!</v>
      </c>
    </row>
    <row r="55" spans="1:10">
      <c r="A55" s="49">
        <f>Entry!B56</f>
        <v>527</v>
      </c>
      <c r="B55" s="49" t="str">
        <f>Entry!A56</f>
        <v>Si 12</v>
      </c>
      <c r="C55" s="49">
        <f>Results!K55</f>
        <v>1.5</v>
      </c>
      <c r="D55">
        <f>AVERAGE(C53,C55)</f>
        <v>1.51</v>
      </c>
      <c r="E55">
        <f>_xlfn.STDEV.S(C53,C55)</f>
        <v>1.4142135623730963E-2</v>
      </c>
      <c r="F55" s="49">
        <f>Results!P55</f>
        <v>9.936705600000012E-2</v>
      </c>
      <c r="G55">
        <f>AVERAGE(F53,F55)</f>
        <v>9.6023720000000146E-2</v>
      </c>
      <c r="H55">
        <f>_xlfn.STDEV.S(F53,F55)</f>
        <v>4.7281911147701878E-3</v>
      </c>
      <c r="I55">
        <f t="shared" si="0"/>
        <v>6.3591867549668973E-2</v>
      </c>
      <c r="J55">
        <f>(SQRT((E55/D55)^2+(H55/G55)^2))*I55</f>
        <v>3.1873902042219215E-3</v>
      </c>
    </row>
    <row r="56" spans="1:10">
      <c r="A56" s="49">
        <f>Entry!B57</f>
        <v>528</v>
      </c>
      <c r="B56" s="49" t="str">
        <f>Entry!A57</f>
        <v>Fe + Si 13</v>
      </c>
      <c r="C56" s="49">
        <f>Results!K56</f>
        <v>1.83</v>
      </c>
      <c r="F56" s="49">
        <f>Results!P56</f>
        <v>0.1267357600000002</v>
      </c>
    </row>
    <row r="57" spans="1:10">
      <c r="A57" s="49">
        <f>Entry!B58</f>
        <v>529</v>
      </c>
      <c r="B57" s="49" t="str">
        <f>Entry!A58</f>
        <v>Fe + Si 14</v>
      </c>
      <c r="C57" s="49">
        <f>Results!K57</f>
        <v>1.7800000000000002</v>
      </c>
      <c r="F57" s="49">
        <f>Results!P57</f>
        <v>6.2979119999999625E-2</v>
      </c>
    </row>
    <row r="58" spans="1:10">
      <c r="A58" s="49">
        <f>Entry!B59</f>
        <v>530</v>
      </c>
      <c r="B58" s="49" t="str">
        <f>Entry!A59</f>
        <v>Fe + Si 15</v>
      </c>
      <c r="C58" s="49">
        <f>Results!K58</f>
        <v>1.72</v>
      </c>
      <c r="D58">
        <f>AVERAGE(C56:C58)</f>
        <v>1.7766666666666666</v>
      </c>
      <c r="E58">
        <f>_xlfn.STDEV.S(C56:C58)</f>
        <v>5.5075705472861079E-2</v>
      </c>
      <c r="F58" s="49">
        <f>Results!P58</f>
        <v>0.23325600000000055</v>
      </c>
      <c r="G58">
        <f>AVERAGE(F56:F58)</f>
        <v>0.14099029333333346</v>
      </c>
      <c r="H58">
        <f>_xlfn.STDEV.S(F56:F58)</f>
        <v>8.6028761214183527E-2</v>
      </c>
      <c r="I58">
        <f t="shared" si="0"/>
        <v>7.9356637898686758E-2</v>
      </c>
      <c r="J58">
        <f>(SQRT((E58/D58)^2+(H58/G58)^2))*I58</f>
        <v>4.8483890811827413E-2</v>
      </c>
    </row>
    <row r="59" spans="1:10">
      <c r="A59" s="49">
        <f>Entry!B60</f>
        <v>531</v>
      </c>
      <c r="B59" s="49" t="str">
        <f>Entry!A60</f>
        <v>Fe 16</v>
      </c>
      <c r="C59" s="49">
        <f>Results!K59</f>
        <v>1.37</v>
      </c>
      <c r="F59" s="49">
        <f>Results!P59</f>
        <v>6.2357104000000385E-2</v>
      </c>
    </row>
    <row r="60" spans="1:10">
      <c r="A60" s="49">
        <f>Entry!B61</f>
        <v>532</v>
      </c>
      <c r="B60" s="49" t="str">
        <f>Entry!A61</f>
        <v>Fe 17</v>
      </c>
      <c r="C60" s="49" t="e">
        <f>Results!K60</f>
        <v>#VALUE!</v>
      </c>
      <c r="F60" s="49" t="e">
        <f>Results!P60</f>
        <v>#VALUE!</v>
      </c>
    </row>
    <row r="61" spans="1:10">
      <c r="A61" s="49">
        <f>Entry!B62</f>
        <v>533</v>
      </c>
      <c r="B61" s="49" t="str">
        <f>Entry!A62</f>
        <v>Fe 18</v>
      </c>
      <c r="C61" s="49">
        <f>Results!K61</f>
        <v>1.3900000000000001</v>
      </c>
      <c r="D61">
        <f>AVERAGE(C59,C61)</f>
        <v>1.3800000000000001</v>
      </c>
      <c r="E61">
        <f>_xlfn.STDEV.S(C59,C61)</f>
        <v>1.4142135623730963E-2</v>
      </c>
      <c r="F61" s="49">
        <f>Results!P61</f>
        <v>8.4283168000000047E-2</v>
      </c>
      <c r="G61">
        <f>AVERAGE(F59,F61)</f>
        <v>7.3320136000000216E-2</v>
      </c>
      <c r="H61">
        <f>_xlfn.STDEV.S(F59,F61)</f>
        <v>1.5504068539130011E-2</v>
      </c>
      <c r="I61">
        <f t="shared" si="0"/>
        <v>5.3130533333333486E-2</v>
      </c>
      <c r="J61">
        <f>(SQRT((E61/D61)^2+(H61/G61)^2))*I61</f>
        <v>1.1248018145125747E-2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3</vt:i4>
      </vt:variant>
    </vt:vector>
  </HeadingPairs>
  <TitlesOfParts>
    <vt:vector size="8" baseType="lpstr">
      <vt:lpstr>Entry</vt:lpstr>
      <vt:lpstr>Results</vt:lpstr>
      <vt:lpstr>simbios</vt:lpstr>
      <vt:lpstr>stn info</vt:lpstr>
      <vt:lpstr>stats and calculations</vt:lpstr>
      <vt:lpstr>mean chl vs time</vt:lpstr>
      <vt:lpstr>mean pheo vs time</vt:lpstr>
      <vt:lpstr>mean pheo over chl vs time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Balch Lab</dc:creator>
  <cp:lastModifiedBy>Balch Lab</cp:lastModifiedBy>
  <dcterms:created xsi:type="dcterms:W3CDTF">2000-06-14T20:13:41Z</dcterms:created>
  <dcterms:modified xsi:type="dcterms:W3CDTF">2020-02-25T16:26:08Z</dcterms:modified>
</cp:coreProperties>
</file>