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0" yWindow="0" windowWidth="19200" windowHeight="8440" firstSheet="4" activeTab="4"/>
  </bookViews>
  <sheets>
    <sheet name="Entry" sheetId="2" r:id="rId1"/>
    <sheet name="Results" sheetId="1" r:id="rId2"/>
    <sheet name="simbios" sheetId="3" r:id="rId3"/>
    <sheet name="stn info" sheetId="4" r:id="rId4"/>
    <sheet name="stats and calculations" sheetId="5" r:id="rId5"/>
    <sheet name="mean chl vs time" sheetId="6" r:id="rId6"/>
    <sheet name="mean phaeo vs time" sheetId="9" r:id="rId7"/>
    <sheet name="mean phaeo ovr chl vs time" sheetId="10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7" i="1" l="1"/>
  <c r="L43" i="1"/>
  <c r="L47" i="1"/>
  <c r="K53" i="1"/>
  <c r="K57" i="1"/>
  <c r="J38" i="1"/>
  <c r="J39" i="1"/>
  <c r="J40" i="1"/>
  <c r="J41" i="1"/>
  <c r="J42" i="1"/>
  <c r="P42" i="1" s="1"/>
  <c r="J43" i="1"/>
  <c r="J44" i="1"/>
  <c r="P44" i="1" s="1"/>
  <c r="J45" i="1"/>
  <c r="J46" i="1"/>
  <c r="J47" i="1"/>
  <c r="J48" i="1"/>
  <c r="P48" i="1" s="1"/>
  <c r="F48" i="5" s="1"/>
  <c r="J49" i="1"/>
  <c r="J50" i="1"/>
  <c r="J51" i="1"/>
  <c r="J52" i="1"/>
  <c r="P52" i="1" s="1"/>
  <c r="J53" i="1"/>
  <c r="J54" i="1"/>
  <c r="J55" i="1"/>
  <c r="J56" i="1"/>
  <c r="P56" i="1" s="1"/>
  <c r="J57" i="1"/>
  <c r="J58" i="1"/>
  <c r="J59" i="1"/>
  <c r="H41" i="1"/>
  <c r="P41" i="1" s="1"/>
  <c r="F41" i="5" s="1"/>
  <c r="H42" i="1"/>
  <c r="H43" i="1"/>
  <c r="G42" i="1"/>
  <c r="K42" i="1" s="1"/>
  <c r="G43" i="1"/>
  <c r="G59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A42" i="1"/>
  <c r="A43" i="1"/>
  <c r="A44" i="1"/>
  <c r="A8" i="5"/>
  <c r="A24" i="5"/>
  <c r="A25" i="5"/>
  <c r="A26" i="5"/>
  <c r="A28" i="5"/>
  <c r="A42" i="5"/>
  <c r="A43" i="5"/>
  <c r="A44" i="5"/>
  <c r="A60" i="5"/>
  <c r="A61" i="5"/>
  <c r="A2" i="5"/>
  <c r="H10" i="1"/>
  <c r="H18" i="1"/>
  <c r="H24" i="1"/>
  <c r="H25" i="1"/>
  <c r="H26" i="1"/>
  <c r="H29" i="1"/>
  <c r="H30" i="1"/>
  <c r="H33" i="1"/>
  <c r="H34" i="1"/>
  <c r="H37" i="1"/>
  <c r="G11" i="1"/>
  <c r="K11" i="1" s="1"/>
  <c r="M13" i="1" s="1"/>
  <c r="G19" i="1"/>
  <c r="K19" i="1" s="1"/>
  <c r="G29" i="1"/>
  <c r="K29" i="1" s="1"/>
  <c r="G37" i="1"/>
  <c r="K37" i="1" s="1"/>
  <c r="C37" i="5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P30" i="1" s="1"/>
  <c r="J31" i="1"/>
  <c r="J32" i="1"/>
  <c r="J33" i="1"/>
  <c r="J34" i="1"/>
  <c r="P34" i="1" s="1"/>
  <c r="F34" i="5" s="1"/>
  <c r="J35" i="1"/>
  <c r="J36" i="1"/>
  <c r="J37" i="1"/>
  <c r="J2" i="1"/>
  <c r="I46" i="2"/>
  <c r="H45" i="1" s="1"/>
  <c r="P45" i="1" s="1"/>
  <c r="I47" i="2"/>
  <c r="H46" i="1" s="1"/>
  <c r="I48" i="2"/>
  <c r="H47" i="1" s="1"/>
  <c r="I49" i="2"/>
  <c r="H48" i="1" s="1"/>
  <c r="I50" i="2"/>
  <c r="H49" i="1" s="1"/>
  <c r="P49" i="1" s="1"/>
  <c r="F49" i="5" s="1"/>
  <c r="I51" i="2"/>
  <c r="H50" i="1" s="1"/>
  <c r="I52" i="2"/>
  <c r="H51" i="1" s="1"/>
  <c r="I53" i="2"/>
  <c r="H52" i="1" s="1"/>
  <c r="I54" i="2"/>
  <c r="H53" i="1" s="1"/>
  <c r="P53" i="1" s="1"/>
  <c r="I55" i="2"/>
  <c r="H54" i="1" s="1"/>
  <c r="I56" i="2"/>
  <c r="H55" i="1" s="1"/>
  <c r="I57" i="2"/>
  <c r="H56" i="1" s="1"/>
  <c r="I58" i="2"/>
  <c r="H57" i="1" s="1"/>
  <c r="I59" i="2"/>
  <c r="H58" i="1" s="1"/>
  <c r="I60" i="2"/>
  <c r="H59" i="1" s="1"/>
  <c r="H46" i="2"/>
  <c r="G45" i="1" s="1"/>
  <c r="H47" i="2"/>
  <c r="G46" i="1" s="1"/>
  <c r="H48" i="2"/>
  <c r="G47" i="1" s="1"/>
  <c r="K47" i="1" s="1"/>
  <c r="H49" i="2"/>
  <c r="G48" i="1" s="1"/>
  <c r="H50" i="2"/>
  <c r="G49" i="1" s="1"/>
  <c r="H51" i="2"/>
  <c r="G50" i="1" s="1"/>
  <c r="H52" i="2"/>
  <c r="G51" i="1" s="1"/>
  <c r="O51" i="1" s="1"/>
  <c r="H53" i="2"/>
  <c r="G52" i="1" s="1"/>
  <c r="H54" i="2"/>
  <c r="G53" i="1" s="1"/>
  <c r="H55" i="2"/>
  <c r="G54" i="1" s="1"/>
  <c r="H56" i="2"/>
  <c r="G55" i="1" s="1"/>
  <c r="H57" i="2"/>
  <c r="G56" i="1" s="1"/>
  <c r="H58" i="2"/>
  <c r="G57" i="1" s="1"/>
  <c r="H59" i="2"/>
  <c r="G58" i="1" s="1"/>
  <c r="H60" i="2"/>
  <c r="I45" i="2"/>
  <c r="H44" i="1" s="1"/>
  <c r="H45" i="2"/>
  <c r="G44" i="1" s="1"/>
  <c r="I28" i="2"/>
  <c r="H27" i="1" s="1"/>
  <c r="P27" i="1" s="1"/>
  <c r="I29" i="2"/>
  <c r="H28" i="1" s="1"/>
  <c r="I30" i="2"/>
  <c r="I31" i="2"/>
  <c r="I32" i="2"/>
  <c r="H31" i="1" s="1"/>
  <c r="I33" i="2"/>
  <c r="H32" i="1" s="1"/>
  <c r="I34" i="2"/>
  <c r="I35" i="2"/>
  <c r="I36" i="2"/>
  <c r="H35" i="1" s="1"/>
  <c r="P35" i="1" s="1"/>
  <c r="I37" i="2"/>
  <c r="H36" i="1" s="1"/>
  <c r="I38" i="2"/>
  <c r="I39" i="2"/>
  <c r="H38" i="1" s="1"/>
  <c r="I40" i="2"/>
  <c r="H39" i="1" s="1"/>
  <c r="I41" i="2"/>
  <c r="H40" i="1" s="1"/>
  <c r="I42" i="2"/>
  <c r="H28" i="2"/>
  <c r="G27" i="1" s="1"/>
  <c r="H29" i="2"/>
  <c r="G28" i="1" s="1"/>
  <c r="H30" i="2"/>
  <c r="H31" i="2"/>
  <c r="G30" i="1" s="1"/>
  <c r="H32" i="2"/>
  <c r="G31" i="1" s="1"/>
  <c r="H33" i="2"/>
  <c r="G32" i="1" s="1"/>
  <c r="H34" i="2"/>
  <c r="G33" i="1" s="1"/>
  <c r="H35" i="2"/>
  <c r="G34" i="1" s="1"/>
  <c r="H36" i="2"/>
  <c r="G35" i="1" s="1"/>
  <c r="H37" i="2"/>
  <c r="G36" i="1" s="1"/>
  <c r="P36" i="1" s="1"/>
  <c r="H38" i="2"/>
  <c r="H39" i="2"/>
  <c r="G38" i="1" s="1"/>
  <c r="H40" i="2"/>
  <c r="G39" i="1" s="1"/>
  <c r="H41" i="2"/>
  <c r="G40" i="1" s="1"/>
  <c r="H42" i="2"/>
  <c r="G41" i="1" s="1"/>
  <c r="K41" i="1" s="1"/>
  <c r="C41" i="5" s="1"/>
  <c r="D43" i="5" s="1"/>
  <c r="W4" i="5" s="1"/>
  <c r="I27" i="2"/>
  <c r="H27" i="2"/>
  <c r="G26" i="1" s="1"/>
  <c r="K26" i="1" s="1"/>
  <c r="I10" i="2"/>
  <c r="H9" i="1" s="1"/>
  <c r="I11" i="2"/>
  <c r="I12" i="2"/>
  <c r="H11" i="1" s="1"/>
  <c r="I13" i="2"/>
  <c r="H12" i="1" s="1"/>
  <c r="P12" i="1" s="1"/>
  <c r="F12" i="5" s="1"/>
  <c r="I14" i="2"/>
  <c r="H13" i="1" s="1"/>
  <c r="I15" i="2"/>
  <c r="H14" i="1" s="1"/>
  <c r="I16" i="2"/>
  <c r="H15" i="1" s="1"/>
  <c r="I17" i="2"/>
  <c r="H16" i="1" s="1"/>
  <c r="O16" i="1" s="1"/>
  <c r="I18" i="2"/>
  <c r="H17" i="1" s="1"/>
  <c r="L17" i="1" s="1"/>
  <c r="I19" i="2"/>
  <c r="I20" i="2"/>
  <c r="H19" i="1" s="1"/>
  <c r="I21" i="2"/>
  <c r="H20" i="1" s="1"/>
  <c r="P20" i="1" s="1"/>
  <c r="I22" i="2"/>
  <c r="H21" i="1" s="1"/>
  <c r="I23" i="2"/>
  <c r="H22" i="1" s="1"/>
  <c r="I24" i="2"/>
  <c r="H23" i="1" s="1"/>
  <c r="H10" i="2"/>
  <c r="G9" i="1" s="1"/>
  <c r="K9" i="1" s="1"/>
  <c r="C9" i="5" s="1"/>
  <c r="H11" i="2"/>
  <c r="G10" i="1" s="1"/>
  <c r="P10" i="1" s="1"/>
  <c r="H12" i="2"/>
  <c r="H13" i="2"/>
  <c r="G12" i="1" s="1"/>
  <c r="H14" i="2"/>
  <c r="G13" i="1" s="1"/>
  <c r="K13" i="1" s="1"/>
  <c r="C13" i="5" s="1"/>
  <c r="H15" i="2"/>
  <c r="G14" i="1" s="1"/>
  <c r="H16" i="2"/>
  <c r="G15" i="1" s="1"/>
  <c r="H17" i="2"/>
  <c r="G16" i="1" s="1"/>
  <c r="H18" i="2"/>
  <c r="G17" i="1" s="1"/>
  <c r="K17" i="1" s="1"/>
  <c r="C17" i="5" s="1"/>
  <c r="H19" i="2"/>
  <c r="G18" i="1" s="1"/>
  <c r="H20" i="2"/>
  <c r="H21" i="2"/>
  <c r="G20" i="1" s="1"/>
  <c r="H22" i="2"/>
  <c r="G21" i="1" s="1"/>
  <c r="K21" i="1" s="1"/>
  <c r="C21" i="5" s="1"/>
  <c r="H23" i="2"/>
  <c r="G22" i="1" s="1"/>
  <c r="H24" i="2"/>
  <c r="G23" i="1" s="1"/>
  <c r="I9" i="2"/>
  <c r="H8" i="1" s="1"/>
  <c r="H9" i="2"/>
  <c r="G8" i="1" s="1"/>
  <c r="K8" i="1" s="1"/>
  <c r="C8" i="5" s="1"/>
  <c r="I6" i="2"/>
  <c r="H5" i="1" s="1"/>
  <c r="I7" i="2"/>
  <c r="H6" i="1" s="1"/>
  <c r="I8" i="2"/>
  <c r="H7" i="1" s="1"/>
  <c r="H6" i="2"/>
  <c r="G5" i="1" s="1"/>
  <c r="K5" i="1" s="1"/>
  <c r="C5" i="5" s="1"/>
  <c r="H7" i="2"/>
  <c r="G6" i="1" s="1"/>
  <c r="H8" i="2"/>
  <c r="G7" i="1" s="1"/>
  <c r="K7" i="1" s="1"/>
  <c r="I4" i="2"/>
  <c r="H3" i="1" s="1"/>
  <c r="I5" i="2"/>
  <c r="H4" i="1" s="1"/>
  <c r="L4" i="1" s="1"/>
  <c r="H4" i="2"/>
  <c r="G3" i="1" s="1"/>
  <c r="L3" i="1" s="1"/>
  <c r="H5" i="2"/>
  <c r="G4" i="1" s="1"/>
  <c r="K4" i="1" s="1"/>
  <c r="I3" i="2"/>
  <c r="H2" i="1" s="1"/>
  <c r="H3" i="2"/>
  <c r="G2" i="1" s="1"/>
  <c r="L2" i="1" s="1"/>
  <c r="K3" i="1"/>
  <c r="C3" i="5" s="1"/>
  <c r="C7" i="5"/>
  <c r="C11" i="5"/>
  <c r="K12" i="1"/>
  <c r="C12" i="5" s="1"/>
  <c r="K16" i="1"/>
  <c r="C16" i="5" s="1"/>
  <c r="O3" i="5" s="1"/>
  <c r="C19" i="5"/>
  <c r="K20" i="1"/>
  <c r="C20" i="5" s="1"/>
  <c r="K24" i="1"/>
  <c r="K25" i="1"/>
  <c r="C26" i="5"/>
  <c r="K27" i="1"/>
  <c r="C27" i="5" s="1"/>
  <c r="K31" i="1"/>
  <c r="C31" i="5" s="1"/>
  <c r="K35" i="1"/>
  <c r="K36" i="1"/>
  <c r="C36" i="5" s="1"/>
  <c r="C47" i="5"/>
  <c r="K2" i="1"/>
  <c r="P18" i="1"/>
  <c r="F18" i="5" s="1"/>
  <c r="P24" i="1"/>
  <c r="F30" i="5"/>
  <c r="P31" i="1"/>
  <c r="F31" i="5" s="1"/>
  <c r="F44" i="5"/>
  <c r="F45" i="5"/>
  <c r="F52" i="5"/>
  <c r="F53" i="5"/>
  <c r="P2" i="1"/>
  <c r="F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E43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AE5" i="5"/>
  <c r="AE23" i="5"/>
  <c r="AD5" i="5"/>
  <c r="AD23" i="5" s="1"/>
  <c r="AC5" i="5"/>
  <c r="AC23" i="5"/>
  <c r="AB5" i="5"/>
  <c r="AA5" i="5"/>
  <c r="AA23" i="5"/>
  <c r="Z5" i="5"/>
  <c r="B23" i="5"/>
  <c r="AE4" i="5"/>
  <c r="AD4" i="5"/>
  <c r="AD22" i="5"/>
  <c r="AC4" i="5"/>
  <c r="AB4" i="5"/>
  <c r="AB22" i="5"/>
  <c r="AA4" i="5"/>
  <c r="Z4" i="5"/>
  <c r="Z22" i="5" s="1"/>
  <c r="B22" i="5"/>
  <c r="AE3" i="5"/>
  <c r="AD3" i="5"/>
  <c r="AD21" i="5"/>
  <c r="AC3" i="5"/>
  <c r="AC21" i="5" s="1"/>
  <c r="AB3" i="5"/>
  <c r="AB21" i="5"/>
  <c r="AA3" i="5"/>
  <c r="Z3" i="5"/>
  <c r="Z21" i="5"/>
  <c r="B21" i="5"/>
  <c r="AE2" i="5"/>
  <c r="AE20" i="5"/>
  <c r="AD2" i="5"/>
  <c r="AD20" i="5" s="1"/>
  <c r="AC2" i="5"/>
  <c r="AC20" i="5"/>
  <c r="AB2" i="5"/>
  <c r="AA2" i="5"/>
  <c r="AA20" i="5"/>
  <c r="Z2" i="5"/>
  <c r="Z20" i="5" s="1"/>
  <c r="B20" i="5"/>
  <c r="B19" i="5"/>
  <c r="B18" i="5"/>
  <c r="B17" i="5"/>
  <c r="B16" i="5"/>
  <c r="B15" i="5"/>
  <c r="AE14" i="5"/>
  <c r="AD14" i="5"/>
  <c r="AC14" i="5"/>
  <c r="AA14" i="5"/>
  <c r="B14" i="5"/>
  <c r="AD13" i="5"/>
  <c r="AB13" i="5"/>
  <c r="Z13" i="5"/>
  <c r="B13" i="5"/>
  <c r="AD12" i="5"/>
  <c r="AC12" i="5"/>
  <c r="AB12" i="5"/>
  <c r="Z12" i="5"/>
  <c r="B12" i="5"/>
  <c r="AE11" i="5"/>
  <c r="AD11" i="5"/>
  <c r="AC11" i="5"/>
  <c r="AA11" i="5"/>
  <c r="Z11" i="5"/>
  <c r="B11" i="5"/>
  <c r="B10" i="5"/>
  <c r="B9" i="5"/>
  <c r="B8" i="5"/>
  <c r="B7" i="5"/>
  <c r="B6" i="5"/>
  <c r="B5" i="5"/>
  <c r="X4" i="5"/>
  <c r="B4" i="5"/>
  <c r="B3" i="5"/>
  <c r="B2" i="5"/>
  <c r="L7" i="1"/>
  <c r="L8" i="1"/>
  <c r="L19" i="1"/>
  <c r="L20" i="1"/>
  <c r="L24" i="1"/>
  <c r="L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2" i="1"/>
  <c r="B4" i="2"/>
  <c r="A3" i="1" s="1"/>
  <c r="A8" i="1"/>
  <c r="B10" i="2"/>
  <c r="A9" i="5" s="1"/>
  <c r="A9" i="1"/>
  <c r="B11" i="2"/>
  <c r="A26" i="1"/>
  <c r="B28" i="2"/>
  <c r="A27" i="5" s="1"/>
  <c r="B29" i="2"/>
  <c r="B30" i="2" s="1"/>
  <c r="A28" i="1"/>
  <c r="B31" i="2"/>
  <c r="A2" i="1"/>
  <c r="F32" i="3" s="1"/>
  <c r="L37" i="1"/>
  <c r="L25" i="1"/>
  <c r="L5" i="1"/>
  <c r="L27" i="1"/>
  <c r="N4" i="1"/>
  <c r="O3" i="1"/>
  <c r="B46" i="2"/>
  <c r="B47" i="2"/>
  <c r="M4" i="1"/>
  <c r="E38" i="3" s="1"/>
  <c r="O4" i="1"/>
  <c r="B48" i="3"/>
  <c r="A1" i="4"/>
  <c r="D45" i="3"/>
  <c r="D57" i="3"/>
  <c r="C57" i="3"/>
  <c r="D55" i="3"/>
  <c r="C55" i="3"/>
  <c r="B7" i="4"/>
  <c r="C6" i="4"/>
  <c r="C44" i="3"/>
  <c r="D43" i="3"/>
  <c r="B4" i="4"/>
  <c r="B3" i="4"/>
  <c r="C2" i="4"/>
  <c r="C35" i="3"/>
  <c r="B1" i="4"/>
  <c r="A2" i="4"/>
  <c r="B57" i="3"/>
  <c r="B54" i="3"/>
  <c r="B51" i="3"/>
  <c r="B45" i="3"/>
  <c r="B40" i="3"/>
  <c r="B39" i="3"/>
  <c r="B37" i="3"/>
  <c r="B36" i="3"/>
  <c r="B33" i="3"/>
  <c r="F33" i="3"/>
  <c r="F34" i="3"/>
  <c r="B58" i="3"/>
  <c r="B53" i="3"/>
  <c r="B52" i="3"/>
  <c r="B50" i="3"/>
  <c r="B49" i="3"/>
  <c r="B47" i="3"/>
  <c r="B46" i="3"/>
  <c r="B44" i="3"/>
  <c r="B43" i="3"/>
  <c r="B42" i="3"/>
  <c r="B41" i="3"/>
  <c r="B38" i="3"/>
  <c r="B35" i="3"/>
  <c r="B34" i="3"/>
  <c r="B32" i="3"/>
  <c r="B56" i="3"/>
  <c r="B55" i="3"/>
  <c r="A33" i="3"/>
  <c r="D56" i="3"/>
  <c r="D53" i="3"/>
  <c r="D54" i="3"/>
  <c r="C8" i="4"/>
  <c r="C58" i="3"/>
  <c r="B9" i="4"/>
  <c r="C56" i="3"/>
  <c r="C52" i="3"/>
  <c r="D36" i="3"/>
  <c r="C43" i="3"/>
  <c r="C42" i="3"/>
  <c r="B2" i="4"/>
  <c r="C37" i="3"/>
  <c r="F35" i="3"/>
  <c r="F36" i="3"/>
  <c r="F37" i="3"/>
  <c r="A54" i="3"/>
  <c r="A48" i="3"/>
  <c r="A43" i="3"/>
  <c r="A14" i="3"/>
  <c r="D48" i="3"/>
  <c r="D49" i="3"/>
  <c r="D47" i="3"/>
  <c r="D44" i="3"/>
  <c r="D46" i="3"/>
  <c r="C5" i="4"/>
  <c r="D41" i="3"/>
  <c r="C45" i="3"/>
  <c r="C46" i="3"/>
  <c r="C41" i="3"/>
  <c r="C38" i="3"/>
  <c r="C40" i="3"/>
  <c r="C39" i="3"/>
  <c r="C36" i="3"/>
  <c r="C33" i="3"/>
  <c r="C34" i="3"/>
  <c r="A55" i="3"/>
  <c r="A50" i="3"/>
  <c r="A44" i="3"/>
  <c r="A39" i="3"/>
  <c r="A34" i="3"/>
  <c r="A58" i="3"/>
  <c r="A52" i="3"/>
  <c r="A47" i="3"/>
  <c r="A42" i="3"/>
  <c r="A36" i="3"/>
  <c r="A56" i="3"/>
  <c r="A51" i="3"/>
  <c r="A46" i="3"/>
  <c r="A40" i="3"/>
  <c r="C4" i="4"/>
  <c r="B5" i="4"/>
  <c r="D37" i="3"/>
  <c r="A15" i="3"/>
  <c r="D35" i="3"/>
  <c r="D42" i="3"/>
  <c r="D34" i="3"/>
  <c r="D33" i="3"/>
  <c r="C1" i="4"/>
  <c r="C7" i="4"/>
  <c r="D52" i="3"/>
  <c r="D50" i="3"/>
  <c r="D58" i="3"/>
  <c r="C9" i="4"/>
  <c r="C50" i="3"/>
  <c r="C51" i="3"/>
  <c r="D51" i="3"/>
  <c r="C3" i="4"/>
  <c r="D40" i="3"/>
  <c r="D38" i="3"/>
  <c r="D39" i="3"/>
  <c r="C48" i="3"/>
  <c r="C49" i="3"/>
  <c r="C47" i="3"/>
  <c r="B8" i="4"/>
  <c r="C54" i="3"/>
  <c r="C53" i="3"/>
  <c r="B6" i="4"/>
  <c r="A57" i="3"/>
  <c r="A53" i="3"/>
  <c r="A49" i="3"/>
  <c r="A45" i="3"/>
  <c r="A41" i="3"/>
  <c r="O7" i="1"/>
  <c r="F45" i="3"/>
  <c r="F39" i="3"/>
  <c r="F40" i="3"/>
  <c r="F46" i="3"/>
  <c r="F43" i="3"/>
  <c r="F42" i="3"/>
  <c r="A11" i="3"/>
  <c r="A10" i="3"/>
  <c r="C32" i="3"/>
  <c r="A9" i="3"/>
  <c r="A8" i="3"/>
  <c r="D32" i="3"/>
  <c r="E33" i="3"/>
  <c r="E34" i="3"/>
  <c r="E35" i="3"/>
  <c r="A37" i="3"/>
  <c r="E36" i="3"/>
  <c r="O8" i="1"/>
  <c r="F48" i="3"/>
  <c r="F49" i="3"/>
  <c r="F50" i="3"/>
  <c r="E37" i="3"/>
  <c r="O9" i="1"/>
  <c r="E53" i="3" s="1"/>
  <c r="F51" i="3"/>
  <c r="F52" i="3"/>
  <c r="F53" i="3"/>
  <c r="A7" i="4"/>
  <c r="O10" i="1"/>
  <c r="E56" i="3" s="1"/>
  <c r="F54" i="3"/>
  <c r="F55" i="3"/>
  <c r="A8" i="4"/>
  <c r="E39" i="3"/>
  <c r="A9" i="4"/>
  <c r="F57" i="3"/>
  <c r="F58" i="3"/>
  <c r="O11" i="1"/>
  <c r="E40" i="3"/>
  <c r="O12" i="1"/>
  <c r="O13" i="1"/>
  <c r="E42" i="3"/>
  <c r="E43" i="3"/>
  <c r="E45" i="3"/>
  <c r="E46" i="3"/>
  <c r="E47" i="3"/>
  <c r="E48" i="3"/>
  <c r="O20" i="1"/>
  <c r="E49" i="3"/>
  <c r="O21" i="1"/>
  <c r="E51" i="3"/>
  <c r="E52" i="3"/>
  <c r="O24" i="1"/>
  <c r="Q24" i="1" s="1"/>
  <c r="O25" i="1"/>
  <c r="E54" i="3"/>
  <c r="E55" i="3"/>
  <c r="O27" i="1"/>
  <c r="E57" i="3"/>
  <c r="O29" i="1"/>
  <c r="R31" i="1" s="1"/>
  <c r="E58" i="3"/>
  <c r="A6" i="3"/>
  <c r="A35" i="3"/>
  <c r="A12" i="3"/>
  <c r="A38" i="3"/>
  <c r="A32" i="3"/>
  <c r="A20" i="3" s="1"/>
  <c r="O30" i="1"/>
  <c r="Q30" i="1" s="1"/>
  <c r="A13" i="3"/>
  <c r="O31" i="1"/>
  <c r="Q31" i="1" s="1"/>
  <c r="U31" i="1"/>
  <c r="O35" i="1"/>
  <c r="Q35" i="1"/>
  <c r="O37" i="1"/>
  <c r="P14" i="1" l="1"/>
  <c r="L6" i="1"/>
  <c r="O6" i="1"/>
  <c r="K6" i="1"/>
  <c r="C6" i="5" s="1"/>
  <c r="P6" i="1"/>
  <c r="F6" i="5" s="1"/>
  <c r="L22" i="1"/>
  <c r="K22" i="1"/>
  <c r="P22" i="1"/>
  <c r="F22" i="5" s="1"/>
  <c r="O22" i="1"/>
  <c r="L14" i="1"/>
  <c r="K14" i="1"/>
  <c r="O14" i="1"/>
  <c r="F10" i="5"/>
  <c r="Q10" i="1"/>
  <c r="N19" i="1"/>
  <c r="F36" i="5"/>
  <c r="K32" i="1"/>
  <c r="O32" i="1"/>
  <c r="L32" i="1"/>
  <c r="F27" i="5"/>
  <c r="Q27" i="1"/>
  <c r="N7" i="1"/>
  <c r="C2" i="5"/>
  <c r="E32" i="3"/>
  <c r="E7" i="5"/>
  <c r="D7" i="5"/>
  <c r="O2" i="5" s="1"/>
  <c r="F20" i="5"/>
  <c r="G43" i="5"/>
  <c r="H43" i="5"/>
  <c r="F57" i="5"/>
  <c r="U22" i="1"/>
  <c r="Q20" i="1"/>
  <c r="AE21" i="5"/>
  <c r="AE12" i="5"/>
  <c r="AA13" i="5"/>
  <c r="AA22" i="5"/>
  <c r="M37" i="1"/>
  <c r="E13" i="5"/>
  <c r="D13" i="5"/>
  <c r="Q8" i="1"/>
  <c r="U10" i="1"/>
  <c r="R10" i="1"/>
  <c r="E50" i="3"/>
  <c r="A45" i="5"/>
  <c r="A45" i="1"/>
  <c r="AC22" i="5"/>
  <c r="AC13" i="5"/>
  <c r="H4" i="5"/>
  <c r="N11" i="5" s="1"/>
  <c r="E37" i="5"/>
  <c r="D37" i="5"/>
  <c r="S4" i="5" s="1"/>
  <c r="E10" i="5"/>
  <c r="R22" i="1"/>
  <c r="Q12" i="1"/>
  <c r="R13" i="1"/>
  <c r="U13" i="1"/>
  <c r="AB20" i="5"/>
  <c r="AB11" i="5"/>
  <c r="Z23" i="5"/>
  <c r="Z14" i="5"/>
  <c r="K23" i="1"/>
  <c r="L23" i="1"/>
  <c r="N25" i="1" s="1"/>
  <c r="O23" i="1"/>
  <c r="K15" i="1"/>
  <c r="C15" i="5" s="1"/>
  <c r="O15" i="1"/>
  <c r="Q15" i="1" s="1"/>
  <c r="L15" i="1"/>
  <c r="L33" i="1"/>
  <c r="K33" i="1"/>
  <c r="O33" i="1"/>
  <c r="Q33" i="1" s="1"/>
  <c r="K55" i="1"/>
  <c r="C55" i="5" s="1"/>
  <c r="O55" i="1"/>
  <c r="L55" i="1"/>
  <c r="Q51" i="1"/>
  <c r="C29" i="5"/>
  <c r="P33" i="1"/>
  <c r="A46" i="5"/>
  <c r="A46" i="1"/>
  <c r="B48" i="2"/>
  <c r="A30" i="5"/>
  <c r="B32" i="2"/>
  <c r="A30" i="1"/>
  <c r="AE13" i="5"/>
  <c r="AE22" i="5"/>
  <c r="L18" i="1"/>
  <c r="O18" i="1"/>
  <c r="Q18" i="1" s="1"/>
  <c r="K18" i="1"/>
  <c r="C18" i="5" s="1"/>
  <c r="D19" i="5" s="1"/>
  <c r="S3" i="5" s="1"/>
  <c r="L10" i="1"/>
  <c r="K10" i="1"/>
  <c r="C10" i="5" s="1"/>
  <c r="D10" i="5" s="1"/>
  <c r="M3" i="5" s="1"/>
  <c r="O40" i="1"/>
  <c r="L40" i="1"/>
  <c r="N42" i="1" s="1"/>
  <c r="K40" i="1"/>
  <c r="C40" i="5" s="1"/>
  <c r="L36" i="1"/>
  <c r="O36" i="1"/>
  <c r="Q36" i="1" s="1"/>
  <c r="L28" i="1"/>
  <c r="K28" i="1"/>
  <c r="C28" i="5" s="1"/>
  <c r="E28" i="5" s="1"/>
  <c r="O28" i="1"/>
  <c r="K58" i="1"/>
  <c r="C58" i="5" s="1"/>
  <c r="O58" i="1"/>
  <c r="L58" i="1"/>
  <c r="K54" i="1"/>
  <c r="C54" i="5" s="1"/>
  <c r="O54" i="1"/>
  <c r="L54" i="1"/>
  <c r="K50" i="1"/>
  <c r="O50" i="1"/>
  <c r="L50" i="1"/>
  <c r="K46" i="1"/>
  <c r="C46" i="5" s="1"/>
  <c r="O46" i="1"/>
  <c r="L46" i="1"/>
  <c r="M59" i="1"/>
  <c r="C57" i="5"/>
  <c r="D28" i="5"/>
  <c r="M4" i="5" s="1"/>
  <c r="L35" i="1"/>
  <c r="N37" i="1" s="1"/>
  <c r="P26" i="1"/>
  <c r="K59" i="1"/>
  <c r="C59" i="5" s="1"/>
  <c r="O59" i="1"/>
  <c r="Q59" i="1" s="1"/>
  <c r="P40" i="1"/>
  <c r="F40" i="5" s="1"/>
  <c r="M55" i="1"/>
  <c r="C53" i="5"/>
  <c r="O26" i="1"/>
  <c r="O19" i="1"/>
  <c r="M7" i="1"/>
  <c r="O2" i="1"/>
  <c r="L9" i="1"/>
  <c r="N10" i="1" s="1"/>
  <c r="L21" i="1"/>
  <c r="N22" i="1" s="1"/>
  <c r="L29" i="1"/>
  <c r="A29" i="5"/>
  <c r="A29" i="1"/>
  <c r="A10" i="5"/>
  <c r="A10" i="1"/>
  <c r="F56" i="3" s="1"/>
  <c r="B12" i="2"/>
  <c r="L26" i="1"/>
  <c r="N28" i="1" s="1"/>
  <c r="AA21" i="5"/>
  <c r="AA12" i="5"/>
  <c r="P29" i="1"/>
  <c r="P16" i="1"/>
  <c r="F16" i="5" s="1"/>
  <c r="P8" i="1"/>
  <c r="P4" i="1"/>
  <c r="F4" i="5" s="1"/>
  <c r="P3" i="1"/>
  <c r="F3" i="5" s="1"/>
  <c r="G4" i="5" s="1"/>
  <c r="P7" i="1"/>
  <c r="L16" i="1"/>
  <c r="L12" i="1"/>
  <c r="P23" i="1"/>
  <c r="P19" i="1"/>
  <c r="F19" i="5" s="1"/>
  <c r="P15" i="1"/>
  <c r="F15" i="5" s="1"/>
  <c r="P11" i="1"/>
  <c r="K34" i="1"/>
  <c r="C34" i="5" s="1"/>
  <c r="L34" i="1"/>
  <c r="K30" i="1"/>
  <c r="C30" i="5" s="1"/>
  <c r="L30" i="1"/>
  <c r="P37" i="1"/>
  <c r="P25" i="1"/>
  <c r="Q25" i="1" s="1"/>
  <c r="P21" i="1"/>
  <c r="F21" i="5" s="1"/>
  <c r="P17" i="1"/>
  <c r="P13" i="1"/>
  <c r="F13" i="5" s="1"/>
  <c r="P9" i="1"/>
  <c r="P5" i="1"/>
  <c r="K39" i="1"/>
  <c r="O39" i="1"/>
  <c r="L39" i="1"/>
  <c r="N41" i="1" s="1"/>
  <c r="O34" i="1"/>
  <c r="Q34" i="1" s="1"/>
  <c r="O17" i="1"/>
  <c r="O5" i="1"/>
  <c r="L11" i="1"/>
  <c r="N13" i="1" s="1"/>
  <c r="L13" i="1"/>
  <c r="A3" i="5"/>
  <c r="B5" i="2"/>
  <c r="AB23" i="5"/>
  <c r="AB14" i="5"/>
  <c r="F56" i="5"/>
  <c r="D49" i="5"/>
  <c r="Q5" i="5" s="1"/>
  <c r="O41" i="1"/>
  <c r="Q41" i="1" s="1"/>
  <c r="L41" i="1"/>
  <c r="P32" i="1"/>
  <c r="P28" i="1"/>
  <c r="F28" i="5" s="1"/>
  <c r="K51" i="1"/>
  <c r="C51" i="5" s="1"/>
  <c r="L51" i="1"/>
  <c r="M49" i="1"/>
  <c r="K43" i="1"/>
  <c r="O43" i="1"/>
  <c r="L59" i="1"/>
  <c r="O47" i="1"/>
  <c r="A27" i="1"/>
  <c r="O44" i="1"/>
  <c r="L44" i="1"/>
  <c r="K44" i="1"/>
  <c r="O57" i="1"/>
  <c r="L57" i="1"/>
  <c r="N59" i="1" s="1"/>
  <c r="O53" i="1"/>
  <c r="L53" i="1"/>
  <c r="N55" i="1" s="1"/>
  <c r="O49" i="1"/>
  <c r="Q49" i="1" s="1"/>
  <c r="L49" i="1"/>
  <c r="N51" i="1" s="1"/>
  <c r="O45" i="1"/>
  <c r="Q45" i="1" s="1"/>
  <c r="L45" i="1"/>
  <c r="N47" i="1" s="1"/>
  <c r="P59" i="1"/>
  <c r="F59" i="5" s="1"/>
  <c r="P55" i="1"/>
  <c r="F55" i="5" s="1"/>
  <c r="P51" i="1"/>
  <c r="F51" i="5" s="1"/>
  <c r="P47" i="1"/>
  <c r="P43" i="1"/>
  <c r="P39" i="1"/>
  <c r="S41" i="1" s="1"/>
  <c r="K49" i="1"/>
  <c r="C49" i="5" s="1"/>
  <c r="K38" i="1"/>
  <c r="O38" i="1"/>
  <c r="L38" i="1"/>
  <c r="O56" i="1"/>
  <c r="L56" i="1"/>
  <c r="N58" i="1" s="1"/>
  <c r="K56" i="1"/>
  <c r="O52" i="1"/>
  <c r="Q52" i="1" s="1"/>
  <c r="L52" i="1"/>
  <c r="K52" i="1"/>
  <c r="C52" i="5" s="1"/>
  <c r="O48" i="1"/>
  <c r="Q48" i="1" s="1"/>
  <c r="L48" i="1"/>
  <c r="N50" i="1" s="1"/>
  <c r="K48" i="1"/>
  <c r="C48" i="5" s="1"/>
  <c r="E49" i="5" s="1"/>
  <c r="P58" i="1"/>
  <c r="F58" i="5" s="1"/>
  <c r="P54" i="1"/>
  <c r="F54" i="5" s="1"/>
  <c r="H55" i="5" s="1"/>
  <c r="T14" i="5" s="1"/>
  <c r="P50" i="1"/>
  <c r="P46" i="1"/>
  <c r="F46" i="5" s="1"/>
  <c r="H46" i="5" s="1"/>
  <c r="N14" i="5" s="1"/>
  <c r="P38" i="1"/>
  <c r="K45" i="1"/>
  <c r="C45" i="5" s="1"/>
  <c r="L42" i="1"/>
  <c r="N44" i="1" s="1"/>
  <c r="O42" i="1"/>
  <c r="Q42" i="1" s="1"/>
  <c r="R5" i="5" l="1"/>
  <c r="N4" i="5"/>
  <c r="M11" i="5"/>
  <c r="S49" i="1"/>
  <c r="F47" i="5"/>
  <c r="M46" i="1"/>
  <c r="C44" i="5"/>
  <c r="F32" i="5"/>
  <c r="S34" i="1"/>
  <c r="N56" i="1"/>
  <c r="S59" i="1"/>
  <c r="Q16" i="1"/>
  <c r="Q6" i="1"/>
  <c r="E44" i="3"/>
  <c r="N54" i="1"/>
  <c r="U58" i="1"/>
  <c r="R58" i="1"/>
  <c r="Q56" i="1"/>
  <c r="Q53" i="1"/>
  <c r="R55" i="1"/>
  <c r="U55" i="1"/>
  <c r="N46" i="1"/>
  <c r="N53" i="1"/>
  <c r="N43" i="1"/>
  <c r="A4" i="1"/>
  <c r="F38" i="3" s="1"/>
  <c r="A3" i="4"/>
  <c r="A4" i="5"/>
  <c r="B6" i="2"/>
  <c r="E41" i="3"/>
  <c r="U7" i="1"/>
  <c r="R7" i="1"/>
  <c r="Q5" i="1"/>
  <c r="U41" i="1"/>
  <c r="Q39" i="1"/>
  <c r="R41" i="1"/>
  <c r="F37" i="5"/>
  <c r="Q37" i="1"/>
  <c r="F23" i="5"/>
  <c r="S25" i="1"/>
  <c r="F29" i="5"/>
  <c r="S31" i="1"/>
  <c r="Q29" i="1"/>
  <c r="T31" i="1" s="1"/>
  <c r="A11" i="5"/>
  <c r="A11" i="1"/>
  <c r="B13" i="2"/>
  <c r="Q2" i="1"/>
  <c r="U4" i="1"/>
  <c r="R4" i="1"/>
  <c r="Q26" i="1"/>
  <c r="T28" i="1" s="1"/>
  <c r="U28" i="1"/>
  <c r="R28" i="1"/>
  <c r="E61" i="5"/>
  <c r="D61" i="5"/>
  <c r="W5" i="5" s="1"/>
  <c r="S55" i="1"/>
  <c r="N52" i="1"/>
  <c r="Q54" i="1"/>
  <c r="T37" i="1"/>
  <c r="Q40" i="1"/>
  <c r="Q3" i="1"/>
  <c r="N57" i="1"/>
  <c r="G55" i="5"/>
  <c r="U37" i="1"/>
  <c r="N49" i="1"/>
  <c r="S4" i="1"/>
  <c r="S22" i="1"/>
  <c r="E4" i="5"/>
  <c r="D4" i="5"/>
  <c r="C32" i="5"/>
  <c r="M34" i="1"/>
  <c r="N16" i="1"/>
  <c r="M40" i="1"/>
  <c r="C38" i="5"/>
  <c r="Q19" i="1"/>
  <c r="Q58" i="1"/>
  <c r="C23" i="5"/>
  <c r="M25" i="1"/>
  <c r="N3" i="5"/>
  <c r="E19" i="5"/>
  <c r="C14" i="5"/>
  <c r="M16" i="1"/>
  <c r="C22" i="5"/>
  <c r="M22" i="1"/>
  <c r="S52" i="1"/>
  <c r="F50" i="5"/>
  <c r="N40" i="1"/>
  <c r="U46" i="1"/>
  <c r="R46" i="1"/>
  <c r="Q44" i="1"/>
  <c r="Q43" i="1"/>
  <c r="G58" i="5"/>
  <c r="H58" i="5"/>
  <c r="V14" i="5" s="1"/>
  <c r="Q17" i="1"/>
  <c r="U19" i="1"/>
  <c r="R19" i="1"/>
  <c r="M41" i="1"/>
  <c r="C39" i="5"/>
  <c r="S19" i="1"/>
  <c r="F17" i="5"/>
  <c r="F11" i="5"/>
  <c r="S13" i="1"/>
  <c r="Q11" i="1"/>
  <c r="N31" i="1"/>
  <c r="M19" i="1"/>
  <c r="N45" i="1"/>
  <c r="S46" i="1"/>
  <c r="F26" i="5"/>
  <c r="S28" i="1"/>
  <c r="G46" i="5"/>
  <c r="N48" i="1"/>
  <c r="U52" i="1"/>
  <c r="R52" i="1"/>
  <c r="Q50" i="1"/>
  <c r="T52" i="1" s="1"/>
  <c r="Q28" i="1"/>
  <c r="N38" i="1"/>
  <c r="A47" i="5"/>
  <c r="A47" i="1"/>
  <c r="B49" i="2"/>
  <c r="M31" i="1"/>
  <c r="Q55" i="1"/>
  <c r="R25" i="1"/>
  <c r="Q23" i="1"/>
  <c r="T25" i="1" s="1"/>
  <c r="U25" i="1"/>
  <c r="R37" i="1"/>
  <c r="T4" i="5"/>
  <c r="W11" i="5"/>
  <c r="S11" i="5"/>
  <c r="Q3" i="5"/>
  <c r="U11" i="5"/>
  <c r="Q11" i="5"/>
  <c r="Q21" i="1"/>
  <c r="T22" i="1" s="1"/>
  <c r="I43" i="5"/>
  <c r="W13" i="5"/>
  <c r="H22" i="5"/>
  <c r="V12" i="5" s="1"/>
  <c r="G22" i="5"/>
  <c r="S37" i="1"/>
  <c r="Q22" i="1"/>
  <c r="F14" i="5"/>
  <c r="S16" i="1"/>
  <c r="S40" i="1"/>
  <c r="F38" i="5"/>
  <c r="U49" i="1"/>
  <c r="R49" i="1"/>
  <c r="Q47" i="1"/>
  <c r="T49" i="1" s="1"/>
  <c r="F9" i="5"/>
  <c r="Q9" i="1"/>
  <c r="T10" i="1" s="1"/>
  <c r="F7" i="5"/>
  <c r="Q7" i="1"/>
  <c r="U34" i="1"/>
  <c r="Q32" i="1"/>
  <c r="T34" i="1" s="1"/>
  <c r="R34" i="1"/>
  <c r="M58" i="1"/>
  <c r="C56" i="5"/>
  <c r="U40" i="1"/>
  <c r="R40" i="1"/>
  <c r="Q38" i="1"/>
  <c r="T40" i="1" s="1"/>
  <c r="H61" i="5"/>
  <c r="X14" i="5" s="1"/>
  <c r="G61" i="5"/>
  <c r="U59" i="1"/>
  <c r="R59" i="1"/>
  <c r="Q57" i="1"/>
  <c r="T59" i="1" s="1"/>
  <c r="F5" i="5"/>
  <c r="S7" i="1"/>
  <c r="F8" i="5"/>
  <c r="S10" i="1"/>
  <c r="D55" i="5"/>
  <c r="S5" i="5" s="1"/>
  <c r="E55" i="5"/>
  <c r="S58" i="1"/>
  <c r="Q46" i="1"/>
  <c r="M52" i="1"/>
  <c r="C50" i="5"/>
  <c r="A31" i="5"/>
  <c r="A31" i="1"/>
  <c r="B33" i="2"/>
  <c r="D31" i="5"/>
  <c r="Q4" i="5" s="1"/>
  <c r="E31" i="5"/>
  <c r="N39" i="1"/>
  <c r="V11" i="5"/>
  <c r="R11" i="5"/>
  <c r="R3" i="5"/>
  <c r="X11" i="5"/>
  <c r="T11" i="5"/>
  <c r="M10" i="1"/>
  <c r="M28" i="1"/>
  <c r="P2" i="5"/>
  <c r="Q4" i="1"/>
  <c r="N34" i="1"/>
  <c r="G37" i="5"/>
  <c r="H37" i="5"/>
  <c r="T13" i="5" s="1"/>
  <c r="U16" i="1"/>
  <c r="Q14" i="1"/>
  <c r="T16" i="1" s="1"/>
  <c r="R16" i="1"/>
  <c r="Q13" i="1"/>
  <c r="H19" i="5" l="1"/>
  <c r="T12" i="5" s="1"/>
  <c r="G19" i="5"/>
  <c r="E58" i="5"/>
  <c r="D58" i="5"/>
  <c r="U5" i="5" s="1"/>
  <c r="G40" i="5"/>
  <c r="H40" i="5"/>
  <c r="V13" i="5" s="1"/>
  <c r="A48" i="1"/>
  <c r="B50" i="2"/>
  <c r="A48" i="5"/>
  <c r="T13" i="1"/>
  <c r="E22" i="5"/>
  <c r="D22" i="5"/>
  <c r="E40" i="5"/>
  <c r="D40" i="5"/>
  <c r="U4" i="5" s="1"/>
  <c r="E34" i="5"/>
  <c r="D34" i="5"/>
  <c r="O4" i="5" s="1"/>
  <c r="X5" i="5"/>
  <c r="H31" i="5"/>
  <c r="R13" i="5" s="1"/>
  <c r="G31" i="5"/>
  <c r="T7" i="1"/>
  <c r="A5" i="5"/>
  <c r="B7" i="2"/>
  <c r="A4" i="4"/>
  <c r="A5" i="1"/>
  <c r="F41" i="3" s="1"/>
  <c r="H34" i="5"/>
  <c r="P13" i="5" s="1"/>
  <c r="G34" i="5"/>
  <c r="A32" i="5"/>
  <c r="B34" i="2"/>
  <c r="A32" i="1"/>
  <c r="H7" i="5"/>
  <c r="G7" i="5"/>
  <c r="H49" i="5"/>
  <c r="G49" i="5"/>
  <c r="R4" i="5"/>
  <c r="H10" i="5"/>
  <c r="G10" i="5"/>
  <c r="W22" i="5"/>
  <c r="J43" i="5"/>
  <c r="J37" i="5"/>
  <c r="T22" i="5" s="1"/>
  <c r="M14" i="5"/>
  <c r="T19" i="1"/>
  <c r="T46" i="1"/>
  <c r="H52" i="5"/>
  <c r="P14" i="5" s="1"/>
  <c r="G52" i="5"/>
  <c r="E25" i="5"/>
  <c r="D25" i="5"/>
  <c r="W3" i="5" s="1"/>
  <c r="W2" i="5"/>
  <c r="S2" i="5"/>
  <c r="U2" i="5"/>
  <c r="M2" i="5"/>
  <c r="Q2" i="5"/>
  <c r="T55" i="1"/>
  <c r="E46" i="5"/>
  <c r="D46" i="5"/>
  <c r="M5" i="5" s="1"/>
  <c r="S13" i="5"/>
  <c r="I37" i="5"/>
  <c r="S22" i="5" s="1"/>
  <c r="I61" i="5"/>
  <c r="W23" i="5" s="1"/>
  <c r="W14" i="5"/>
  <c r="G16" i="5"/>
  <c r="H16" i="5"/>
  <c r="P12" i="5" s="1"/>
  <c r="G28" i="5"/>
  <c r="H28" i="5"/>
  <c r="U14" i="5"/>
  <c r="T3" i="5"/>
  <c r="S14" i="5"/>
  <c r="I55" i="5"/>
  <c r="S23" i="5" s="1"/>
  <c r="A12" i="1"/>
  <c r="A12" i="5"/>
  <c r="B14" i="2"/>
  <c r="D52" i="5"/>
  <c r="O5" i="5" s="1"/>
  <c r="E52" i="5"/>
  <c r="T5" i="5"/>
  <c r="J55" i="5"/>
  <c r="T23" i="5" s="1"/>
  <c r="U12" i="5"/>
  <c r="G13" i="5"/>
  <c r="H13" i="5"/>
  <c r="E16" i="5"/>
  <c r="D16" i="5"/>
  <c r="J4" i="5"/>
  <c r="N20" i="5" s="1"/>
  <c r="V2" i="5"/>
  <c r="R2" i="5"/>
  <c r="N2" i="5"/>
  <c r="T2" i="5"/>
  <c r="T4" i="1"/>
  <c r="H25" i="5"/>
  <c r="X12" i="5" s="1"/>
  <c r="G25" i="5"/>
  <c r="T41" i="1"/>
  <c r="T58" i="1"/>
  <c r="I4" i="5"/>
  <c r="M20" i="5" s="1"/>
  <c r="W12" i="5" l="1"/>
  <c r="I25" i="5"/>
  <c r="J52" i="5"/>
  <c r="P23" i="5" s="1"/>
  <c r="P5" i="5"/>
  <c r="I28" i="5"/>
  <c r="M22" i="5" s="1"/>
  <c r="M13" i="5"/>
  <c r="N5" i="5"/>
  <c r="X3" i="5"/>
  <c r="J25" i="5"/>
  <c r="I7" i="5"/>
  <c r="O20" i="5" s="1"/>
  <c r="O11" i="5"/>
  <c r="Q20" i="5"/>
  <c r="W20" i="5"/>
  <c r="S20" i="5"/>
  <c r="U3" i="5"/>
  <c r="U20" i="5"/>
  <c r="P3" i="5"/>
  <c r="I22" i="5"/>
  <c r="U21" i="5" s="1"/>
  <c r="O14" i="5"/>
  <c r="I52" i="5"/>
  <c r="O23" i="5" s="1"/>
  <c r="P11" i="5"/>
  <c r="I34" i="5"/>
  <c r="O22" i="5" s="1"/>
  <c r="O13" i="5"/>
  <c r="A6" i="5"/>
  <c r="A6" i="1"/>
  <c r="F44" i="3" s="1"/>
  <c r="B8" i="2"/>
  <c r="A5" i="4"/>
  <c r="P4" i="5"/>
  <c r="J34" i="5"/>
  <c r="P22" i="5" s="1"/>
  <c r="R20" i="5"/>
  <c r="V3" i="5"/>
  <c r="V20" i="5"/>
  <c r="T20" i="5"/>
  <c r="J22" i="5"/>
  <c r="V21" i="5" s="1"/>
  <c r="V5" i="5"/>
  <c r="Q13" i="5"/>
  <c r="I31" i="5"/>
  <c r="Q22" i="5" s="1"/>
  <c r="R12" i="5"/>
  <c r="J13" i="5"/>
  <c r="R21" i="5" s="1"/>
  <c r="A13" i="5"/>
  <c r="A13" i="1"/>
  <c r="B15" i="2"/>
  <c r="I58" i="5"/>
  <c r="U23" i="5" s="1"/>
  <c r="I16" i="5"/>
  <c r="O21" i="5" s="1"/>
  <c r="O12" i="5"/>
  <c r="I46" i="5"/>
  <c r="M23" i="5" s="1"/>
  <c r="I10" i="5"/>
  <c r="M21" i="5" s="1"/>
  <c r="M12" i="5"/>
  <c r="I49" i="5"/>
  <c r="Q23" i="5" s="1"/>
  <c r="Q14" i="5"/>
  <c r="I19" i="5"/>
  <c r="S12" i="5"/>
  <c r="A49" i="5"/>
  <c r="A49" i="1"/>
  <c r="B51" i="2"/>
  <c r="I13" i="5"/>
  <c r="Q21" i="5" s="1"/>
  <c r="Q12" i="5"/>
  <c r="N13" i="5"/>
  <c r="J28" i="5"/>
  <c r="N22" i="5" s="1"/>
  <c r="N12" i="5"/>
  <c r="R14" i="5"/>
  <c r="J49" i="5"/>
  <c r="R23" i="5" s="1"/>
  <c r="A33" i="5"/>
  <c r="A33" i="1"/>
  <c r="B35" i="2"/>
  <c r="J61" i="5"/>
  <c r="X23" i="5" s="1"/>
  <c r="J40" i="5"/>
  <c r="V22" i="5" s="1"/>
  <c r="V4" i="5"/>
  <c r="I40" i="5"/>
  <c r="U22" i="5" s="1"/>
  <c r="U13" i="5"/>
  <c r="A34" i="5" l="1"/>
  <c r="B36" i="2"/>
  <c r="A34" i="1"/>
  <c r="A14" i="5"/>
  <c r="A14" i="1"/>
  <c r="B16" i="2"/>
  <c r="J16" i="5"/>
  <c r="P21" i="5" s="1"/>
  <c r="A50" i="5"/>
  <c r="A50" i="1"/>
  <c r="B52" i="2"/>
  <c r="J58" i="5"/>
  <c r="V23" i="5" s="1"/>
  <c r="J10" i="5"/>
  <c r="N21" i="5" s="1"/>
  <c r="A7" i="5"/>
  <c r="A7" i="1"/>
  <c r="F47" i="3" s="1"/>
  <c r="A6" i="4"/>
  <c r="S21" i="5"/>
  <c r="J19" i="5"/>
  <c r="T21" i="5" s="1"/>
  <c r="J7" i="5"/>
  <c r="P20" i="5" s="1"/>
  <c r="J46" i="5"/>
  <c r="N23" i="5" s="1"/>
  <c r="J31" i="5"/>
  <c r="R22" i="5" s="1"/>
  <c r="A51" i="5" l="1"/>
  <c r="A51" i="1"/>
  <c r="B53" i="2"/>
  <c r="A15" i="5"/>
  <c r="B17" i="2"/>
  <c r="A15" i="1"/>
  <c r="A35" i="5"/>
  <c r="A35" i="1"/>
  <c r="B37" i="2"/>
  <c r="A52" i="1" l="1"/>
  <c r="A52" i="5"/>
  <c r="B54" i="2"/>
  <c r="B38" i="2"/>
  <c r="A36" i="5"/>
  <c r="A36" i="1"/>
  <c r="A16" i="1"/>
  <c r="B18" i="2"/>
  <c r="A16" i="5"/>
  <c r="A17" i="5" l="1"/>
  <c r="A17" i="1"/>
  <c r="B19" i="2"/>
  <c r="A37" i="5"/>
  <c r="A37" i="1"/>
  <c r="B39" i="2"/>
  <c r="A53" i="5"/>
  <c r="A53" i="1"/>
  <c r="B55" i="2"/>
  <c r="A18" i="5" l="1"/>
  <c r="A18" i="1"/>
  <c r="B20" i="2"/>
  <c r="A38" i="5"/>
  <c r="A38" i="1"/>
  <c r="B40" i="2"/>
  <c r="A54" i="5"/>
  <c r="A54" i="1"/>
  <c r="B56" i="2"/>
  <c r="A19" i="5" l="1"/>
  <c r="A19" i="1"/>
  <c r="B21" i="2"/>
  <c r="A39" i="5"/>
  <c r="A39" i="1"/>
  <c r="B41" i="2"/>
  <c r="A55" i="5"/>
  <c r="B57" i="2"/>
  <c r="A55" i="1"/>
  <c r="A20" i="1" l="1"/>
  <c r="B22" i="2"/>
  <c r="A20" i="5"/>
  <c r="A56" i="1"/>
  <c r="A56" i="5"/>
  <c r="B58" i="2"/>
  <c r="A40" i="1"/>
  <c r="B42" i="2"/>
  <c r="A40" i="5"/>
  <c r="A57" i="5" l="1"/>
  <c r="A57" i="1"/>
  <c r="B59" i="2"/>
  <c r="A21" i="5"/>
  <c r="A21" i="1"/>
  <c r="B23" i="2"/>
  <c r="A41" i="5"/>
  <c r="A41" i="1"/>
  <c r="A58" i="1" l="1"/>
  <c r="A58" i="5"/>
  <c r="B60" i="2"/>
  <c r="A22" i="5"/>
  <c r="A22" i="1"/>
  <c r="B24" i="2"/>
  <c r="A59" i="1" l="1"/>
  <c r="A59" i="5"/>
  <c r="A23" i="5"/>
  <c r="A23" i="1"/>
</calcChain>
</file>

<file path=xl/comments1.xml><?xml version="1.0" encoding="utf-8"?>
<comments xmlns="http://schemas.openxmlformats.org/spreadsheetml/2006/main">
  <authors>
    <author>Bruce Bowler</author>
  </authors>
  <commentList>
    <comment ref="I1" authorId="0" shapeId="0">
      <text>
        <r>
          <rPr>
            <b/>
            <sz val="8"/>
            <color indexed="81"/>
            <rFont val="Tahoma"/>
            <family val="2"/>
          </rPr>
          <t>Bruce Bowler:</t>
        </r>
        <r>
          <rPr>
            <sz val="8"/>
            <color indexed="81"/>
            <rFont val="Tahoma"/>
            <family val="2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<sst xmlns="http://schemas.openxmlformats.org/spreadsheetml/2006/main" count="336" uniqueCount="141">
  <si>
    <t>Sample #</t>
  </si>
  <si>
    <t>Filter</t>
  </si>
  <si>
    <t>Date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</si>
  <si>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</si>
  <si>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</si>
  <si>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</si>
  <si>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</si>
  <si>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</si>
  <si>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</si>
  <si>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</si>
  <si>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</si>
  <si>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</si>
  <si>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</si>
  <si>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</si>
  <si>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</si>
  <si>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</si>
  <si>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</si>
  <si>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</si>
  <si>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</si>
  <si>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</si>
  <si>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</si>
  <si>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</si>
  <si>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</si>
  <si>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</si>
  <si>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</si>
  <si>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</si>
  <si>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</si>
  <si>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</si>
  <si>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</si>
  <si>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</si>
  <si>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</si>
  <si>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</si>
  <si>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</si>
  <si>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</si>
  <si>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</si>
  <si>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</si>
  <si>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</si>
  <si>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</si>
  <si>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</si>
  <si>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</si>
  <si>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</si>
  <si>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</si>
  <si>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</si>
  <si>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</si>
  <si>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</si>
  <si>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>Factor
tau/(tau-1)</t>
  </si>
  <si>
    <t>scale</t>
  </si>
  <si>
    <t>corr fb</t>
  </si>
  <si>
    <t>corr fa</t>
  </si>
  <si>
    <t>Dev. Chla</t>
  </si>
  <si>
    <t xml:space="preserve">Cruise: </t>
  </si>
  <si>
    <t>Enter data in green cells only!</t>
  </si>
  <si>
    <t>TN376 UW</t>
  </si>
  <si>
    <t>control 1</t>
  </si>
  <si>
    <t>control 2</t>
  </si>
  <si>
    <t>control 3</t>
  </si>
  <si>
    <t>NO3 4</t>
  </si>
  <si>
    <t>NO3 5</t>
  </si>
  <si>
    <t>NO3 6</t>
  </si>
  <si>
    <t>SAMW 7</t>
  </si>
  <si>
    <t>SAMW 8</t>
  </si>
  <si>
    <t>SAMW 9</t>
  </si>
  <si>
    <t>Si 10</t>
  </si>
  <si>
    <t>Si 11</t>
  </si>
  <si>
    <t>Si 12</t>
  </si>
  <si>
    <t>Fe + Si 13</t>
  </si>
  <si>
    <t>Fe + Si 14</t>
  </si>
  <si>
    <t>Fe + Si 15</t>
  </si>
  <si>
    <t>Fe 16</t>
  </si>
  <si>
    <t>Fe 17</t>
  </si>
  <si>
    <t>Fe 18</t>
  </si>
  <si>
    <t>Time from T0</t>
  </si>
  <si>
    <t>Treatment</t>
  </si>
  <si>
    <t>Time From 0</t>
  </si>
  <si>
    <t>SAMW 4</t>
  </si>
  <si>
    <t>SAMW 5</t>
  </si>
  <si>
    <t>SAMW 6</t>
  </si>
  <si>
    <t>Sample</t>
  </si>
  <si>
    <t>chl (ug/L)</t>
  </si>
  <si>
    <t>mean chl</t>
  </si>
  <si>
    <t>SD chl</t>
  </si>
  <si>
    <t>mean Pheo</t>
  </si>
  <si>
    <t>SD Phaeo</t>
  </si>
  <si>
    <t>Pheo/chl</t>
  </si>
  <si>
    <t>SD Phaeo/Chl</t>
  </si>
  <si>
    <t>mean chl (ug/L)</t>
  </si>
  <si>
    <t>control</t>
  </si>
  <si>
    <t>SD control</t>
  </si>
  <si>
    <t>SAMW</t>
  </si>
  <si>
    <t>SD SAMW</t>
  </si>
  <si>
    <t>NO3</t>
  </si>
  <si>
    <t>SD NO3</t>
  </si>
  <si>
    <t>Si</t>
  </si>
  <si>
    <t>SD Si</t>
  </si>
  <si>
    <t>Fe + Si</t>
  </si>
  <si>
    <t>SD Fe+Si</t>
  </si>
  <si>
    <t>Fe</t>
  </si>
  <si>
    <t>SD Fe</t>
  </si>
  <si>
    <t>T from 0 (hrs)</t>
  </si>
  <si>
    <t>mean pheo</t>
  </si>
  <si>
    <t>pheo/chl</t>
  </si>
  <si>
    <t>summary stats</t>
  </si>
  <si>
    <t>l</t>
  </si>
  <si>
    <t>h</t>
  </si>
  <si>
    <t>run 1</t>
  </si>
  <si>
    <t>m</t>
  </si>
  <si>
    <t>run 2</t>
  </si>
  <si>
    <t>run 3</t>
  </si>
  <si>
    <t>run 4</t>
  </si>
  <si>
    <t>run 5</t>
  </si>
  <si>
    <t>run 6</t>
  </si>
  <si>
    <t>run 7</t>
  </si>
  <si>
    <t>run 8</t>
  </si>
  <si>
    <t>run 9</t>
  </si>
  <si>
    <t>!0</t>
  </si>
  <si>
    <t>!=Entry!H25</t>
  </si>
  <si>
    <t>!=Entry!H26</t>
  </si>
  <si>
    <t>!=E22</t>
  </si>
  <si>
    <t>!=I25</t>
  </si>
  <si>
    <t>!=J25</t>
  </si>
  <si>
    <t>!=E4</t>
  </si>
  <si>
    <t>!=H43</t>
  </si>
  <si>
    <t>!=J43</t>
  </si>
  <si>
    <t>!=Results!K4</t>
  </si>
  <si>
    <t>!=Results!K33</t>
  </si>
  <si>
    <t>!=Results!K35</t>
  </si>
  <si>
    <t>!=Results!P33</t>
  </si>
  <si>
    <t>!=Results!P35</t>
  </si>
  <si>
    <t>!=Results!K24</t>
  </si>
  <si>
    <t>!=Results!K25</t>
  </si>
  <si>
    <t>!=Results!P24</t>
  </si>
  <si>
    <t>!=Results!P25</t>
  </si>
  <si>
    <t>!=Results!K42</t>
  </si>
  <si>
    <t>!=Results!K43</t>
  </si>
  <si>
    <t>!=Results!K60</t>
  </si>
  <si>
    <t>!=Results!K61</t>
  </si>
  <si>
    <t>!=Results!P42</t>
  </si>
  <si>
    <t>!=Results!P43</t>
  </si>
  <si>
    <t>!=Results!P60</t>
  </si>
  <si>
    <t>!=Results!P61</t>
  </si>
  <si>
    <t>!=Results!P39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</si>
</sst>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_)"/>
    <numFmt numFmtId="165" formatCode="0_)"/>
    <numFmt numFmtId="166" formatCode="0.00_)"/>
    <numFmt numFmtId="167" formatCode="0.000_)"/>
    <numFmt numFmtId="168" formatCode="0.0"/>
    <numFmt numFmtId="169" formatCode="0.0000"/>
    <numFmt numFmtId="170" formatCode="yyyymmdd"/>
    <numFmt numFmtId="171" formatCode="h:mm;@"/>
    <numFmt numFmtId="172" formatCode="0.000"/>
    <numFmt numFmtId="173" formatCode="m/d/yy\ h:mm;@"/>
    <numFmt numFmtId="174" formatCode="[h]:mm:ss;@"/>
  </numFmts>
  <fonts count="11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Geneva"/>
    </font>
    <font>
      <sz val="10"/>
      <color indexed="10"/>
      <name val="Geneva"/>
    </font>
    <font>
      <sz val="10"/>
      <color theme="4" tint="-0.249977111117893"/>
      <name val="Geneva"/>
    </font>
    <font>
      <sz val="10"/>
      <color theme="4" tint="-0.499984740745262"/>
      <name val="Geneva"/>
    </font>
    <font>
      <sz val="10"/>
      <color rgb="FF0070C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4" fontId="1" fillId="0" borderId="0" xfId="0" applyNumberFormat="1" applyFont="1" applyAlignment="1" applyProtection="1">
      <alignment horizontal="center" wrapText="1"/>
    </xf>
    <xf numFmtId="168" fontId="1" fillId="0" borderId="0" xfId="0" applyNumberFormat="1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 wrapText="1"/>
    </xf>
    <xf numFmtId="168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>
      <alignment horizontal="center"/>
    </xf>
    <xf numFmtId="0" fontId="0" fillId="0" borderId="0" xfId="0" applyFill="1"/>
    <xf numFmtId="0" fontId="0" fillId="2" borderId="0" xfId="0" applyFill="1" applyProtection="1">
      <protection locked="0"/>
    </xf>
    <xf numFmtId="14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/>
    <xf numFmtId="170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169" fontId="0" fillId="0" borderId="0" xfId="0" applyNumberFormat="1"/>
    <xf numFmtId="2" fontId="7" fillId="0" borderId="0" xfId="0" applyNumberFormat="1" applyFont="1"/>
    <xf numFmtId="0" fontId="7" fillId="0" borderId="0" xfId="0" applyFont="1"/>
    <xf numFmtId="171" fontId="0" fillId="0" borderId="0" xfId="0" applyNumberFormat="1"/>
    <xf numFmtId="171" fontId="0" fillId="0" borderId="0" xfId="0" applyNumberFormat="1" applyAlignment="1">
      <alignment horizontal="center" wrapText="1"/>
    </xf>
    <xf numFmtId="17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72" fontId="2" fillId="0" borderId="0" xfId="0" applyNumberFormat="1" applyFont="1" applyAlignment="1" applyProtection="1">
      <alignment horizontal="center"/>
    </xf>
    <xf numFmtId="172" fontId="2" fillId="0" borderId="0" xfId="0" applyNumberFormat="1" applyFont="1" applyAlignment="1" applyProtection="1">
      <alignment horizontal="center" wrapText="1"/>
    </xf>
    <xf numFmtId="172" fontId="2" fillId="0" borderId="0" xfId="0" applyNumberFormat="1" applyFont="1" applyAlignment="1">
      <alignment horizontal="center" wrapText="1"/>
    </xf>
    <xf numFmtId="172" fontId="0" fillId="0" borderId="0" xfId="0" applyNumberFormat="1" applyAlignment="1" applyProtection="1">
      <alignment horizontal="center"/>
    </xf>
    <xf numFmtId="172" fontId="0" fillId="0" borderId="0" xfId="0" applyNumberFormat="1"/>
    <xf numFmtId="173" fontId="0" fillId="2" borderId="0" xfId="0" applyNumberFormat="1" applyFill="1" applyProtection="1">
      <protection locked="0"/>
    </xf>
    <xf numFmtId="174" fontId="0" fillId="2" borderId="0" xfId="0" applyNumberFormat="1" applyFill="1" applyProtection="1">
      <protection locked="0"/>
    </xf>
    <xf numFmtId="174" fontId="0" fillId="0" borderId="0" xfId="0" applyNumberFormat="1"/>
    <xf numFmtId="1" fontId="2" fillId="0" borderId="0" xfId="0" applyNumberFormat="1" applyFont="1" applyAlignment="1" applyProtection="1">
      <alignment horizontal="center" wrapText="1"/>
    </xf>
    <xf numFmtId="1" fontId="2" fillId="0" borderId="0" xfId="0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/>
    <xf numFmtId="0" fontId="0" fillId="4" borderId="0" xfId="0" applyFill="1" applyAlignment="1"/>
    <xf numFmtId="0" fontId="0" fillId="4" borderId="0" xfId="0" applyFill="1"/>
    <xf numFmtId="169" fontId="2" fillId="0" borderId="0" xfId="0" applyNumberFormat="1" applyFont="1" applyAlignment="1" applyProtection="1">
      <alignment horizontal="center" wrapText="1"/>
    </xf>
    <xf numFmtId="172" fontId="0" fillId="0" borderId="0" xfId="0" applyNumberFormat="1" applyFont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Chl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09361073267601"/>
          <c:y val="8.2535433070866138E-2"/>
          <c:w val="0.70987212493313534"/>
          <c:h val="0.7744915294679074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-0.34781896397609757"/>
                  <c:y val="-0.4572218529395830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0.0332x + 0.1737
R² = 0.7398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calculations'!$N$2:$N$5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2.0816659994661348E-3</c:v>
                  </c:pt>
                  <c:pt idx="2">
                    <c:v>2.4020824298928628E-2</c:v>
                  </c:pt>
                  <c:pt idx="3">
                    <c:v>2.7055498516937376E-2</c:v>
                  </c:pt>
                </c:numCache>
              </c:numRef>
            </c:plus>
            <c:minus>
              <c:numRef>
                <c:f>'stats and calculations'!$N$2:$N$5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2.0816659994661348E-3</c:v>
                  </c:pt>
                  <c:pt idx="2">
                    <c:v>2.4020824298928628E-2</c:v>
                  </c:pt>
                  <c:pt idx="3">
                    <c:v>2.7055498516937376E-2</c:v>
                  </c:pt>
                </c:numCache>
              </c:numRef>
            </c:minus>
          </c:errBars>
          <c:xVal>
            <c:numRef>
              <c:f>'stats and calculations'!$Z$2:$Z$5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and calculations'!$M$2:$M$5</c:f>
              <c:numCache>
                <c:formatCode>General</c:formatCode>
                <c:ptCount val="4"/>
                <c:pt idx="0">
                  <c:v>0.14650000000000002</c:v>
                </c:pt>
                <c:pt idx="1">
                  <c:v>0.19533333333333336</c:v>
                </c:pt>
                <c:pt idx="2">
                  <c:v>0.30600000000000005</c:v>
                </c:pt>
                <c:pt idx="3">
                  <c:v>0.35831250000000003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95-46B7-9649-8E6F8078D7BE}"/>
            </c:ext>
          </c:extLst>
        </c:ser>
        <c:ser>
          <c:idx val="1"/>
          <c:order val="1"/>
          <c:tx>
            <c:v>SAMW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5114547251216832"/>
                  <c:y val="-0.3536071794045342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SAMW; y = 0.0434x + 0.2314
R² = 0.3655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calculations'!$P$2:$P$5</c:f>
                <c:numCache>
                  <c:formatCode>General</c:formatCode>
                  <c:ptCount val="4"/>
                  <c:pt idx="0">
                    <c:v>1.0969655114602885E-2</c:v>
                  </c:pt>
                  <c:pt idx="1">
                    <c:v>9.0184995056457971E-3</c:v>
                  </c:pt>
                  <c:pt idx="2">
                    <c:v>1.2727922061357828E-2</c:v>
                  </c:pt>
                  <c:pt idx="3">
                    <c:v>1.3868429375143128E-2</c:v>
                  </c:pt>
                </c:numCache>
              </c:numRef>
            </c:plus>
            <c:minus>
              <c:numRef>
                <c:f>'stats and calculations'!$P$2:$P$5</c:f>
                <c:numCache>
                  <c:formatCode>General</c:formatCode>
                  <c:ptCount val="4"/>
                  <c:pt idx="0">
                    <c:v>1.0969655114602885E-2</c:v>
                  </c:pt>
                  <c:pt idx="1">
                    <c:v>9.0184995056457971E-3</c:v>
                  </c:pt>
                  <c:pt idx="2">
                    <c:v>1.2727922061357828E-2</c:v>
                  </c:pt>
                  <c:pt idx="3">
                    <c:v>1.3868429375143128E-2</c:v>
                  </c:pt>
                </c:numCache>
              </c:numRef>
            </c:minus>
          </c:errBars>
          <c:xVal>
            <c:numRef>
              <c:f>'stats and calculations'!$AA$2:$AA$5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and calculations'!$O$2:$O$5</c:f>
              <c:numCache>
                <c:formatCode>General</c:formatCode>
                <c:ptCount val="4"/>
                <c:pt idx="0">
                  <c:v>0.13516666666666668</c:v>
                </c:pt>
                <c:pt idx="1">
                  <c:v>0.27</c:v>
                </c:pt>
                <c:pt idx="2">
                  <c:v>0.5</c:v>
                </c:pt>
                <c:pt idx="3">
                  <c:v>0.38333333333333336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95-46B7-9649-8E6F8078D7BE}"/>
            </c:ext>
          </c:extLst>
        </c:ser>
        <c:ser>
          <c:idx val="2"/>
          <c:order val="2"/>
          <c:tx>
            <c:v>NO3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066340073911274"/>
                  <c:y val="-1.690332076611189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NO3; y = 0.1103x + 0.2706
R² = 0.5845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calculations'!$R$2:$R$5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3.9145029484385183E-2</c:v>
                  </c:pt>
                  <c:pt idx="2">
                    <c:v>6.5454819022997338E-2</c:v>
                  </c:pt>
                  <c:pt idx="3">
                    <c:v>8.6193580580767828E-2</c:v>
                  </c:pt>
                </c:numCache>
              </c:numRef>
            </c:plus>
            <c:minus>
              <c:numRef>
                <c:f>'stats and calculations'!$R$2:$R$5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3.9145029484385183E-2</c:v>
                  </c:pt>
                  <c:pt idx="2">
                    <c:v>6.5454819022997338E-2</c:v>
                  </c:pt>
                  <c:pt idx="3">
                    <c:v>8.6193580580767828E-2</c:v>
                  </c:pt>
                </c:numCache>
              </c:numRef>
            </c:minus>
          </c:errBars>
          <c:xVal>
            <c:numRef>
              <c:f>'stats and calculations'!$AB$2:$AB$5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and calculations'!$Q$2:$Q$5</c:f>
              <c:numCache>
                <c:formatCode>General</c:formatCode>
                <c:ptCount val="4"/>
                <c:pt idx="0">
                  <c:v>0.14650000000000002</c:v>
                </c:pt>
                <c:pt idx="1">
                  <c:v>0.3173333333333333</c:v>
                </c:pt>
                <c:pt idx="2">
                  <c:v>0.80433333333333346</c:v>
                </c:pt>
                <c:pt idx="3">
                  <c:v>0.72133333333333338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95-46B7-9649-8E6F8078D7BE}"/>
            </c:ext>
          </c:extLst>
        </c:ser>
        <c:ser>
          <c:idx val="3"/>
          <c:order val="3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-0.36527482633709624"/>
                  <c:y val="-0.4226796865610851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0.015x + 0.171
R² = 0.5106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calculations'!$T$2:$T$5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9.5393920141694493E-3</c:v>
                  </c:pt>
                  <c:pt idx="2">
                    <c:v>1.6970562748477157E-2</c:v>
                  </c:pt>
                  <c:pt idx="3">
                    <c:v>2.7682726262659413E-2</c:v>
                  </c:pt>
                </c:numCache>
              </c:numRef>
            </c:plus>
            <c:minus>
              <c:numRef>
                <c:f>'stats and calculations'!$T$2:$T$5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9.5393920141694493E-3</c:v>
                  </c:pt>
                  <c:pt idx="2">
                    <c:v>1.6970562748477157E-2</c:v>
                  </c:pt>
                  <c:pt idx="3">
                    <c:v>2.7682726262659413E-2</c:v>
                  </c:pt>
                </c:numCache>
              </c:numRef>
            </c:minus>
          </c:errBars>
          <c:xVal>
            <c:numRef>
              <c:f>'stats and calculations'!$AC$2:$AC$5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and calculations'!$S$2:$S$5</c:f>
              <c:numCache>
                <c:formatCode>General</c:formatCode>
                <c:ptCount val="4"/>
                <c:pt idx="0">
                  <c:v>0.14650000000000002</c:v>
                </c:pt>
                <c:pt idx="1">
                  <c:v>0.18300000000000002</c:v>
                </c:pt>
                <c:pt idx="2">
                  <c:v>0.25</c:v>
                </c:pt>
                <c:pt idx="3">
                  <c:v>0.22933333333333336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95-46B7-9649-8E6F8078D7BE}"/>
            </c:ext>
          </c:extLst>
        </c:ser>
        <c:ser>
          <c:idx val="4"/>
          <c:order val="4"/>
          <c:tx>
            <c:v>Fe + Si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>
                <a:prstDash val="lg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-0.34891564064202968"/>
                  <c:y val="-0.3636476642101502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+Fe+Si; y = 0.016x + 0.1764
R² = 0.2908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calculations'!$V$2:$V$5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8.5440037453175244E-3</c:v>
                  </c:pt>
                  <c:pt idx="2">
                    <c:v>2.4879710609249449E-2</c:v>
                  </c:pt>
                  <c:pt idx="3">
                    <c:v>2.3388031127052997E-2</c:v>
                  </c:pt>
                </c:numCache>
              </c:numRef>
            </c:plus>
            <c:minus>
              <c:numRef>
                <c:f>'stats and calculations'!$V$2:$V$5</c:f>
                <c:numCache>
                  <c:formatCode>General</c:formatCode>
                  <c:ptCount val="4"/>
                  <c:pt idx="0">
                    <c:v>1.4142135623730963E-3</c:v>
                  </c:pt>
                  <c:pt idx="1">
                    <c:v>8.5440037453175244E-3</c:v>
                  </c:pt>
                  <c:pt idx="2">
                    <c:v>2.4879710609249449E-2</c:v>
                  </c:pt>
                  <c:pt idx="3">
                    <c:v>2.3388031127052997E-2</c:v>
                  </c:pt>
                </c:numCache>
              </c:numRef>
            </c:minus>
          </c:errBars>
          <c:xVal>
            <c:numRef>
              <c:f>'stats and calculations'!$AD$2:$AD$5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and calculations'!$U$2:$U$5</c:f>
              <c:numCache>
                <c:formatCode>General</c:formatCode>
                <c:ptCount val="4"/>
                <c:pt idx="0">
                  <c:v>0.14650000000000002</c:v>
                </c:pt>
                <c:pt idx="1">
                  <c:v>0.17000000000000004</c:v>
                </c:pt>
                <c:pt idx="2">
                  <c:v>0.29400000000000004</c:v>
                </c:pt>
                <c:pt idx="3">
                  <c:v>0.22900000000000001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95-46B7-9649-8E6F8078D7BE}"/>
            </c:ext>
          </c:extLst>
        </c:ser>
        <c:ser>
          <c:idx val="5"/>
          <c:order val="5"/>
          <c:tx>
            <c:v>Fe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-0.32992582325934716"/>
                  <c:y val="-0.2567637621800246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0.0011x + 0.0855
R² = 0.0015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calculations'!$X$2:$X$5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'stats and calculations'!$X$2:$X$5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xVal>
            <c:numRef>
              <c:f>'stats and calculations'!$AE$2:$AE$5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and calculations'!$W$2:$W$5</c:f>
              <c:numCache>
                <c:formatCode>General</c:formatCode>
                <c:ptCount val="4"/>
                <c:pt idx="0">
                  <c:v>0.14650000000000002</c:v>
                </c:pt>
                <c:pt idx="1">
                  <c:v>0.21200000000000002</c:v>
                </c:pt>
                <c:pt idx="2">
                  <c:v>0.30400000000000005</c:v>
                </c:pt>
                <c:pt idx="3">
                  <c:v>0.309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95-46B7-9649-8E6F8078D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98656"/>
        <c:axId val="144213120"/>
      </c:scatterChart>
      <c:valAx>
        <c:axId val="14419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13120"/>
        <c:crosses val="autoZero"/>
        <c:crossBetween val="midCat"/>
      </c:valAx>
      <c:valAx>
        <c:axId val="144213120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chl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(</a:t>
                </a:r>
                <a:r>
                  <a:rPr lang="en-US" sz="2800" baseline="0">
                    <a:solidFill>
                      <a:sysClr val="windowText" lastClr="000000"/>
                    </a:solidFill>
                    <a:latin typeface="Symbol" panose="05050102010706020507" pitchFamily="18" charset="2"/>
                  </a:rPr>
                  <a:t>m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g/L)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986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5065172203762248"/>
          <c:y val="9.3763260829568623E-2"/>
          <c:w val="0.13262389847345207"/>
          <c:h val="0.429673566675347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</a:t>
            </a:r>
            <a:r>
              <a:rPr lang="en-US" sz="2400" baseline="0">
                <a:solidFill>
                  <a:sysClr val="windowText" lastClr="000000"/>
                </a:solidFill>
              </a:rPr>
              <a:t>Pheo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35418009990287663"/>
          <c:y val="8.08080808080808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86808406210444"/>
          <c:y val="8.2535433070866138E-2"/>
          <c:w val="0.70091764472837126"/>
          <c:h val="0.7744915294679074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5875"/>
            </c:spPr>
            <c:trendlineType val="linear"/>
            <c:dispRSqr val="1"/>
            <c:dispEq val="1"/>
            <c:trendlineLbl>
              <c:layout>
                <c:manualLayout>
                  <c:x val="7.2121250606137582E-2"/>
                  <c:y val="-0.4796917203531376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0.0003x + 0.0363
R² = 0.004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calculations'!$N$11:$N$14</c:f>
                <c:numCache>
                  <c:formatCode>General</c:formatCode>
                  <c:ptCount val="4"/>
                  <c:pt idx="0">
                    <c:v>1.4992604542605219E-2</c:v>
                  </c:pt>
                  <c:pt idx="1">
                    <c:v>1.9543920643085723E-2</c:v>
                  </c:pt>
                  <c:pt idx="2">
                    <c:v>1.2367294157401634E-2</c:v>
                  </c:pt>
                  <c:pt idx="3">
                    <c:v>7.1074004389385156E-3</c:v>
                  </c:pt>
                </c:numCache>
              </c:numRef>
            </c:plus>
            <c:minus>
              <c:numRef>
                <c:f>'stats and calculations'!$N$11:$N$14</c:f>
                <c:numCache>
                  <c:formatCode>General</c:formatCode>
                  <c:ptCount val="4"/>
                  <c:pt idx="0">
                    <c:v>1.4992604542605219E-2</c:v>
                  </c:pt>
                  <c:pt idx="1">
                    <c:v>1.9543920643085723E-2</c:v>
                  </c:pt>
                  <c:pt idx="2">
                    <c:v>1.2367294157401634E-2</c:v>
                  </c:pt>
                  <c:pt idx="3">
                    <c:v>7.1074004389385156E-3</c:v>
                  </c:pt>
                </c:numCache>
              </c:numRef>
            </c:minus>
          </c:errBars>
          <c:xVal>
            <c:numRef>
              <c:f>'stats and calculations'!$Z$11:$Z$14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and calculations'!$M$11:$M$14</c:f>
              <c:numCache>
                <c:formatCode>General</c:formatCode>
                <c:ptCount val="4"/>
                <c:pt idx="0">
                  <c:v>3.9308819466666652E-2</c:v>
                </c:pt>
                <c:pt idx="1">
                  <c:v>2.2081568000000027E-2</c:v>
                </c:pt>
                <c:pt idx="2">
                  <c:v>5.1368154666666714E-2</c:v>
                </c:pt>
                <c:pt idx="3">
                  <c:v>3.5221656000000039E-2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F5-4A73-BB82-40825A5038A7}"/>
            </c:ext>
          </c:extLst>
        </c:ser>
        <c:ser>
          <c:idx val="1"/>
          <c:order val="1"/>
          <c:tx>
            <c:v>SAMW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sysDot"/>
              </a:ln>
            </c:spPr>
            <c:trendlineType val="linear"/>
            <c:dispRSqr val="1"/>
            <c:dispEq val="1"/>
            <c:trendlineLbl>
              <c:layout>
                <c:manualLayout>
                  <c:x val="7.5494146442838334E-2"/>
                  <c:y val="-0.4718154776107532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SAMW; y = -0.0159x + 0.0401
R² = 0.7695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calculations'!$P$11:$P$14</c:f>
                <c:numCache>
                  <c:formatCode>General</c:formatCode>
                  <c:ptCount val="4"/>
                  <c:pt idx="0">
                    <c:v>7.5604855002732148E-3</c:v>
                  </c:pt>
                  <c:pt idx="1">
                    <c:v>1.8477513740000395E-2</c:v>
                  </c:pt>
                  <c:pt idx="2">
                    <c:v>7.785021649435607E-2</c:v>
                  </c:pt>
                  <c:pt idx="3">
                    <c:v>4.3236917095081442E-3</c:v>
                  </c:pt>
                </c:numCache>
              </c:numRef>
            </c:plus>
            <c:minus>
              <c:numRef>
                <c:f>'stats and calculations'!$P$11:$P$14</c:f>
                <c:numCache>
                  <c:formatCode>General</c:formatCode>
                  <c:ptCount val="4"/>
                  <c:pt idx="0">
                    <c:v>7.5604855002732148E-3</c:v>
                  </c:pt>
                  <c:pt idx="1">
                    <c:v>1.8477513740000395E-2</c:v>
                  </c:pt>
                  <c:pt idx="2">
                    <c:v>7.785021649435607E-2</c:v>
                  </c:pt>
                  <c:pt idx="3">
                    <c:v>4.3236917095081442E-3</c:v>
                  </c:pt>
                </c:numCache>
              </c:numRef>
            </c:minus>
          </c:errBars>
          <c:xVal>
            <c:numRef>
              <c:f>'stats and calculations'!$AA$11:$AA$14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and calculations'!$O$11:$O$14</c:f>
              <c:numCache>
                <c:formatCode>General</c:formatCode>
                <c:ptCount val="4"/>
                <c:pt idx="0">
                  <c:v>3.7935200799999985E-2</c:v>
                </c:pt>
                <c:pt idx="1">
                  <c:v>4.291910400000002E-2</c:v>
                </c:pt>
                <c:pt idx="2">
                  <c:v>-1.8738232000000011E-2</c:v>
                </c:pt>
                <c:pt idx="3">
                  <c:v>-3.4573722666666688E-2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F5-4A73-BB82-40825A5038A7}"/>
            </c:ext>
          </c:extLst>
        </c:ser>
        <c:ser>
          <c:idx val="2"/>
          <c:order val="2"/>
          <c:tx>
            <c:v>NO3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dash"/>
              </a:ln>
            </c:spPr>
            <c:trendlineType val="linear"/>
            <c:dispRSqr val="1"/>
            <c:dispEq val="1"/>
            <c:trendlineLbl>
              <c:layout>
                <c:manualLayout>
                  <c:x val="6.8103886207772413E-2"/>
                  <c:y val="-0.4738051379941143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+NO3; y = -0.0428x + 0.2184
R² = 0.5088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calculations'!$R$11:$R$14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1.6182941491514547E-2</c:v>
                  </c:pt>
                  <c:pt idx="2">
                    <c:v>2.3897959751752618E-2</c:v>
                  </c:pt>
                  <c:pt idx="3">
                    <c:v>2.7085088969050857E-2</c:v>
                  </c:pt>
                </c:numCache>
              </c:numRef>
            </c:plus>
            <c:minus>
              <c:numRef>
                <c:f>'stats and calculations'!$R$11:$R$14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1.6182941491514547E-2</c:v>
                  </c:pt>
                  <c:pt idx="2">
                    <c:v>2.3897959751752618E-2</c:v>
                  </c:pt>
                  <c:pt idx="3">
                    <c:v>2.7085088969050857E-2</c:v>
                  </c:pt>
                </c:numCache>
              </c:numRef>
            </c:minus>
          </c:errBars>
          <c:xVal>
            <c:numRef>
              <c:f>'stats and calculations'!$AB$11:$AB$14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and calculations'!$Q$11:$Q$14</c:f>
              <c:numCache>
                <c:formatCode>General</c:formatCode>
                <c:ptCount val="4"/>
                <c:pt idx="0">
                  <c:v>0.3173333333333333</c:v>
                </c:pt>
                <c:pt idx="1">
                  <c:v>5.0797973333333385E-2</c:v>
                </c:pt>
                <c:pt idx="2">
                  <c:v>0.12588048800000018</c:v>
                </c:pt>
                <c:pt idx="3">
                  <c:v>2.7316869333333493E-2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F5-4A73-BB82-40825A5038A7}"/>
            </c:ext>
          </c:extLst>
        </c:ser>
        <c:ser>
          <c:idx val="3"/>
          <c:order val="3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solidFill>
                  <a:schemeClr val="tx1">
                    <a:lumMod val="75000"/>
                    <a:lumOff val="25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6.2862585725171449E-2"/>
                  <c:y val="-0.3647983774755428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-0.0408x + 0.2012
R² = 0.4308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calculations'!$T$11:$T$14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7.0880888441287853E-3</c:v>
                  </c:pt>
                  <c:pt idx="2">
                    <c:v>2.6389903896392019E-3</c:v>
                  </c:pt>
                  <c:pt idx="3">
                    <c:v>7.6018238156863481E-3</c:v>
                  </c:pt>
                </c:numCache>
              </c:numRef>
            </c:plus>
            <c:minus>
              <c:numRef>
                <c:f>'stats and calculations'!$T$11:$T$14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7.0880888441287853E-3</c:v>
                  </c:pt>
                  <c:pt idx="2">
                    <c:v>2.6389903896392019E-3</c:v>
                  </c:pt>
                  <c:pt idx="3">
                    <c:v>7.6018238156863481E-3</c:v>
                  </c:pt>
                </c:numCache>
              </c:numRef>
            </c:minus>
          </c:errBars>
          <c:xVal>
            <c:numRef>
              <c:f>'stats and calculations'!$AC$11:$AC$14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and calculations'!$S$11:$S$14</c:f>
              <c:numCache>
                <c:formatCode>General</c:formatCode>
                <c:ptCount val="4"/>
                <c:pt idx="0">
                  <c:v>0.3173333333333333</c:v>
                </c:pt>
                <c:pt idx="1">
                  <c:v>2.7456822933333416E-2</c:v>
                </c:pt>
                <c:pt idx="2">
                  <c:v>9.3457904000000036E-2</c:v>
                </c:pt>
                <c:pt idx="3">
                  <c:v>2.7524208000000022E-2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F5-4A73-BB82-40825A5038A7}"/>
            </c:ext>
          </c:extLst>
        </c:ser>
        <c:ser>
          <c:idx val="4"/>
          <c:order val="4"/>
          <c:tx>
            <c:v>Fe + Si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6.0174567621862518E-2"/>
                  <c:y val="-0.289544738725841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+Fe+Si; y = -0.0407x + 0.1912
R² = 0.4103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calculations'!$V$11:$V$14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1.6220441282285916E-3</c:v>
                  </c:pt>
                  <c:pt idx="2">
                    <c:v>1.9242638257786142E-3</c:v>
                  </c:pt>
                  <c:pt idx="3">
                    <c:v>8.2944780185386906E-3</c:v>
                  </c:pt>
                </c:numCache>
              </c:numRef>
            </c:plus>
            <c:minus>
              <c:numRef>
                <c:f>'stats and calculations'!$V$11:$V$14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1.6220441282285916E-3</c:v>
                  </c:pt>
                  <c:pt idx="2">
                    <c:v>1.9242638257786142E-3</c:v>
                  </c:pt>
                  <c:pt idx="3">
                    <c:v>8.2944780185386906E-3</c:v>
                  </c:pt>
                </c:numCache>
              </c:numRef>
            </c:minus>
          </c:errBars>
          <c:xVal>
            <c:numRef>
              <c:f>'stats and calculations'!$AD$11:$AD$14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and calculations'!$U$11:$U$14</c:f>
              <c:numCache>
                <c:formatCode>General</c:formatCode>
                <c:ptCount val="4"/>
                <c:pt idx="0">
                  <c:v>0.3173333333333333</c:v>
                </c:pt>
                <c:pt idx="1">
                  <c:v>3.0551352533333343E-2</c:v>
                </c:pt>
                <c:pt idx="2">
                  <c:v>9.8550660000000026E-2</c:v>
                </c:pt>
                <c:pt idx="3">
                  <c:v>2.9364338666666687E-2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F5-4A73-BB82-40825A5038A7}"/>
            </c:ext>
          </c:extLst>
        </c:ser>
        <c:ser>
          <c:idx val="5"/>
          <c:order val="5"/>
          <c:tx>
            <c:v>Fe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solidFill>
                  <a:schemeClr val="bg2">
                    <a:lumMod val="50000"/>
                  </a:schemeClr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4.9133858267716532E-2"/>
                  <c:y val="-0.1893762825101407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-0.0387x + 0.2173
R² = 0.4097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calculations'!$X$11:$X$14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'stats and calculations'!$X$11:$X$14</c:f>
                <c:numCache>
                  <c:formatCode>General</c:formatCode>
                  <c:ptCount val="4"/>
                  <c:pt idx="0">
                    <c:v>3.9145029484385183E-2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xVal>
            <c:numRef>
              <c:f>'stats and calculations'!$AE$11:$AE$14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and calculations'!$W$11:$W$14</c:f>
              <c:numCache>
                <c:formatCode>General</c:formatCode>
                <c:ptCount val="4"/>
                <c:pt idx="0">
                  <c:v>0.3173333333333333</c:v>
                </c:pt>
                <c:pt idx="1">
                  <c:v>3.1411807999999992E-2</c:v>
                </c:pt>
                <c:pt idx="2">
                  <c:v>0.16016912000000005</c:v>
                </c:pt>
                <c:pt idx="3">
                  <c:v>3.5999176000000098E-2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F5-4A73-BB82-40825A503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56448"/>
        <c:axId val="150858368"/>
      </c:scatterChart>
      <c:valAx>
        <c:axId val="15085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58368"/>
        <c:crosses val="autoZero"/>
        <c:crossBetween val="midCat"/>
      </c:valAx>
      <c:valAx>
        <c:axId val="1508583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 Pheo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564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Mean Pheo</a:t>
            </a:r>
            <a:r>
              <a:rPr lang="en-US" sz="2400" baseline="0">
                <a:solidFill>
                  <a:sysClr val="windowText" lastClr="000000"/>
                </a:solidFill>
              </a:rPr>
              <a:t>/C</a:t>
            </a:r>
            <a:r>
              <a:rPr lang="en-US" sz="2400">
                <a:solidFill>
                  <a:sysClr val="windowText" lastClr="000000"/>
                </a:solidFill>
              </a:rPr>
              <a:t>hl</a:t>
            </a:r>
            <a:r>
              <a:rPr lang="en-US" sz="2400" baseline="0">
                <a:solidFill>
                  <a:sysClr val="windowText" lastClr="000000"/>
                </a:solidFill>
              </a:rPr>
              <a:t> </a:t>
            </a:r>
            <a:r>
              <a:rPr lang="en-US" sz="2400" i="1" baseline="0">
                <a:solidFill>
                  <a:sysClr val="windowText" lastClr="000000"/>
                </a:solidFill>
              </a:rPr>
              <a:t>a</a:t>
            </a:r>
            <a:r>
              <a:rPr lang="en-US" sz="2400" baseline="0">
                <a:solidFill>
                  <a:sysClr val="windowText" lastClr="000000"/>
                </a:solidFill>
              </a:rPr>
              <a:t> vs. Time</a:t>
            </a:r>
            <a:endParaRPr lang="en-US" sz="24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354814045679443"/>
          <c:y val="8.4330288246832905E-2"/>
          <c:w val="0.70704612706554282"/>
          <c:h val="0.77449152946790745"/>
        </c:manualLayout>
      </c:layout>
      <c:scatterChart>
        <c:scatterStyle val="lineMarker"/>
        <c:varyColors val="0"/>
        <c:ser>
          <c:idx val="0"/>
          <c:order val="0"/>
          <c:tx>
            <c:v>control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>
                <a:solidFill>
                  <a:schemeClr val="bg1">
                    <a:lumMod val="50000"/>
                  </a:schemeClr>
                </a:solidFill>
                <a:prstDash val="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9.5215323157919043E-2"/>
                  <c:y val="-0.4124848484848485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Control; y = -0.0253x + 0.2136
R² = 0.5133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calculations'!$N$20:$N$23</c:f>
                <c:numCache>
                  <c:formatCode>General</c:formatCode>
                  <c:ptCount val="4"/>
                  <c:pt idx="0">
                    <c:v>0.1023713708856832</c:v>
                  </c:pt>
                  <c:pt idx="1">
                    <c:v>0.10006145387252363</c:v>
                  </c:pt>
                  <c:pt idx="2">
                    <c:v>4.2510044321706436E-2</c:v>
                  </c:pt>
                  <c:pt idx="3">
                    <c:v>2.1178966219538995E-2</c:v>
                  </c:pt>
                </c:numCache>
              </c:numRef>
            </c:plus>
            <c:minus>
              <c:numRef>
                <c:f>'stats and calculations'!$N$20:$N$23</c:f>
                <c:numCache>
                  <c:formatCode>General</c:formatCode>
                  <c:ptCount val="4"/>
                  <c:pt idx="0">
                    <c:v>0.1023713708856832</c:v>
                  </c:pt>
                  <c:pt idx="1">
                    <c:v>0.10006145387252363</c:v>
                  </c:pt>
                  <c:pt idx="2">
                    <c:v>4.2510044321706436E-2</c:v>
                  </c:pt>
                  <c:pt idx="3">
                    <c:v>2.1178966219538995E-2</c:v>
                  </c:pt>
                </c:numCache>
              </c:numRef>
            </c:minus>
          </c:errBars>
          <c:xVal>
            <c:numRef>
              <c:f>'stats and calculations'!$Z$20:$Z$23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2.0645833333328483</c:v>
                </c:pt>
                <c:pt idx="3">
                  <c:v>5.0645833333328483</c:v>
                </c:pt>
              </c:numCache>
            </c:numRef>
          </c:xVal>
          <c:yVal>
            <c:numRef>
              <c:f>'stats and calculations'!$M$20:$M$23</c:f>
              <c:numCache>
                <c:formatCode>General</c:formatCode>
                <c:ptCount val="4"/>
                <c:pt idx="0">
                  <c:v>0.26831958680318529</c:v>
                </c:pt>
                <c:pt idx="1">
                  <c:v>0.11304556996587044</c:v>
                </c:pt>
                <c:pt idx="2">
                  <c:v>0.16786978649237486</c:v>
                </c:pt>
                <c:pt idx="3">
                  <c:v>9.8298708529565765E-2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34-4367-BD1E-A6D5A5E1D8B2}"/>
            </c:ext>
          </c:extLst>
        </c:ser>
        <c:ser>
          <c:idx val="1"/>
          <c:order val="1"/>
          <c:tx>
            <c:v>SAMW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312790080125615"/>
                  <c:y val="-0.481325538853097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+SAMW; y = -0.0709x + 0.2276
R² = 0.7888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calculations'!$P$20:$P$23</c:f>
                <c:numCache>
                  <c:formatCode>General</c:formatCode>
                  <c:ptCount val="4"/>
                  <c:pt idx="0">
                    <c:v>6.039423614681045E-2</c:v>
                  </c:pt>
                  <c:pt idx="1">
                    <c:v>7.1114131068978403E-2</c:v>
                  </c:pt>
                  <c:pt idx="2">
                    <c:v>-0.15570335558163734</c:v>
                  </c:pt>
                  <c:pt idx="3">
                    <c:v>-1.1741702683723579E-2</c:v>
                  </c:pt>
                </c:numCache>
              </c:numRef>
            </c:plus>
            <c:minus>
              <c:numRef>
                <c:f>'stats and calculations'!$P$20:$P$23</c:f>
                <c:numCache>
                  <c:formatCode>General</c:formatCode>
                  <c:ptCount val="4"/>
                  <c:pt idx="0">
                    <c:v>6.039423614681045E-2</c:v>
                  </c:pt>
                  <c:pt idx="1">
                    <c:v>7.1114131068978403E-2</c:v>
                  </c:pt>
                  <c:pt idx="2">
                    <c:v>-0.15570335558163734</c:v>
                  </c:pt>
                  <c:pt idx="3">
                    <c:v>-1.1741702683723579E-2</c:v>
                  </c:pt>
                </c:numCache>
              </c:numRef>
            </c:minus>
          </c:errBars>
          <c:xVal>
            <c:numRef>
              <c:f>'stats and calculations'!$AA$20:$AA$23</c:f>
              <c:numCache>
                <c:formatCode>[h]:mm:ss;@</c:formatCode>
                <c:ptCount val="4"/>
                <c:pt idx="0">
                  <c:v>9.3055555553291924E-2</c:v>
                </c:pt>
                <c:pt idx="1">
                  <c:v>1.0541666666686069</c:v>
                </c:pt>
                <c:pt idx="2">
                  <c:v>2.1062499999970896</c:v>
                </c:pt>
                <c:pt idx="3">
                  <c:v>5.1062499999970896</c:v>
                </c:pt>
              </c:numCache>
            </c:numRef>
          </c:xVal>
          <c:yVal>
            <c:numRef>
              <c:f>'stats and calculations'!$O$20:$O$23</c:f>
              <c:numCache>
                <c:formatCode>General</c:formatCode>
                <c:ptCount val="4"/>
                <c:pt idx="0">
                  <c:v>0.28065499975339075</c:v>
                </c:pt>
                <c:pt idx="1">
                  <c:v>0.16465129411764715</c:v>
                </c:pt>
                <c:pt idx="2">
                  <c:v>-3.7476464000000022E-2</c:v>
                </c:pt>
                <c:pt idx="3">
                  <c:v>-9.0192320000000048E-2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34-4367-BD1E-A6D5A5E1D8B2}"/>
            </c:ext>
          </c:extLst>
        </c:ser>
        <c:ser>
          <c:idx val="2"/>
          <c:order val="2"/>
          <c:tx>
            <c:v>NO3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4475950770083352E-2"/>
                  <c:y val="-0.3841261433229937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NO3; y = -0.0271x + 0.1869
R² = 0.9062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calculations'!$R$20:$R$23</c:f>
                <c:numCache>
                  <c:formatCode>General</c:formatCode>
                  <c:ptCount val="4"/>
                  <c:pt idx="0">
                    <c:v>8.5440037453175244E-3</c:v>
                  </c:pt>
                  <c:pt idx="1">
                    <c:v>5.4686257141295276E-2</c:v>
                  </c:pt>
                  <c:pt idx="2">
                    <c:v>3.2326085769639204E-2</c:v>
                  </c:pt>
                  <c:pt idx="3">
                    <c:v>3.7820335470011249E-2</c:v>
                  </c:pt>
                </c:numCache>
              </c:numRef>
            </c:plus>
            <c:minus>
              <c:numRef>
                <c:f>'stats and calculations'!$R$20:$R$23</c:f>
                <c:numCache>
                  <c:formatCode>General</c:formatCode>
                  <c:ptCount val="4"/>
                  <c:pt idx="0">
                    <c:v>8.5440037453175244E-3</c:v>
                  </c:pt>
                  <c:pt idx="1">
                    <c:v>5.4686257141295276E-2</c:v>
                  </c:pt>
                  <c:pt idx="2">
                    <c:v>3.2326085769639204E-2</c:v>
                  </c:pt>
                  <c:pt idx="3">
                    <c:v>3.7820335470011249E-2</c:v>
                  </c:pt>
                </c:numCache>
              </c:numRef>
            </c:minus>
          </c:errBars>
          <c:xVal>
            <c:numRef>
              <c:f>'stats and calculations'!$AB$20:$AB$23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2.0854166666686069</c:v>
                </c:pt>
                <c:pt idx="3">
                  <c:v>5.0854166666686069</c:v>
                </c:pt>
              </c:numCache>
            </c:numRef>
          </c:xVal>
          <c:yVal>
            <c:numRef>
              <c:f>'stats and calculations'!$Q$20:$Q$23</c:f>
              <c:numCache>
                <c:formatCode>General</c:formatCode>
                <c:ptCount val="4"/>
                <c:pt idx="0">
                  <c:v>0.17000000000000004</c:v>
                </c:pt>
                <c:pt idx="1">
                  <c:v>0.16007764705882371</c:v>
                </c:pt>
                <c:pt idx="2">
                  <c:v>0.1565028860339828</c:v>
                </c:pt>
                <c:pt idx="3">
                  <c:v>3.7869966728281183E-2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34-4367-BD1E-A6D5A5E1D8B2}"/>
            </c:ext>
          </c:extLst>
        </c:ser>
        <c:ser>
          <c:idx val="3"/>
          <c:order val="3"/>
          <c:tx>
            <c:v>Si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12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solidFill>
                  <a:schemeClr val="bg2">
                    <a:lumMod val="50000"/>
                  </a:schemeClr>
                </a:solidFill>
                <a:prstDash val="lgDashDotDot"/>
              </a:ln>
            </c:spPr>
            <c:trendlineType val="linear"/>
            <c:dispRSqr val="1"/>
            <c:dispEq val="1"/>
            <c:trendlineLbl>
              <c:layout>
                <c:manualLayout>
                  <c:x val="7.9939732606737937E-2"/>
                  <c:y val="-4.594082557862085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+Si; y = -0.0083x + 0.2207
R² = 0.0253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calculations'!$T$20:$T$23</c:f>
                <c:numCache>
                  <c:formatCode>General</c:formatCode>
                  <c:ptCount val="4"/>
                  <c:pt idx="0">
                    <c:v>8.5440037453175244E-3</c:v>
                  </c:pt>
                  <c:pt idx="1">
                    <c:v>3.9514477516686262E-2</c:v>
                  </c:pt>
                  <c:pt idx="2">
                    <c:v>2.7484480708212203E-2</c:v>
                  </c:pt>
                  <c:pt idx="3">
                    <c:v>3.6175124046203828E-2</c:v>
                  </c:pt>
                </c:numCache>
              </c:numRef>
            </c:plus>
            <c:minus>
              <c:numRef>
                <c:f>'stats and calculations'!$T$20:$T$23</c:f>
                <c:numCache>
                  <c:formatCode>General</c:formatCode>
                  <c:ptCount val="4"/>
                  <c:pt idx="0">
                    <c:v>8.5440037453175244E-3</c:v>
                  </c:pt>
                  <c:pt idx="1">
                    <c:v>3.9514477516686262E-2</c:v>
                  </c:pt>
                  <c:pt idx="2">
                    <c:v>2.7484480708212203E-2</c:v>
                  </c:pt>
                  <c:pt idx="3">
                    <c:v>3.6175124046203828E-2</c:v>
                  </c:pt>
                </c:numCache>
              </c:numRef>
            </c:minus>
          </c:errBars>
          <c:xVal>
            <c:numRef>
              <c:f>'stats and calculations'!$AC$20:$AC$23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2.1270833333328483</c:v>
                </c:pt>
                <c:pt idx="3">
                  <c:v>5.1270833333328483</c:v>
                </c:pt>
              </c:numCache>
            </c:numRef>
          </c:xVal>
          <c:yVal>
            <c:numRef>
              <c:f>'stats and calculations'!$S$20:$S$23</c:f>
              <c:numCache>
                <c:formatCode>General</c:formatCode>
                <c:ptCount val="4"/>
                <c:pt idx="0">
                  <c:v>0.17000000000000004</c:v>
                </c:pt>
                <c:pt idx="1">
                  <c:v>0.15003728378870718</c:v>
                </c:pt>
                <c:pt idx="2">
                  <c:v>0.37383161600000014</c:v>
                </c:pt>
                <c:pt idx="3">
                  <c:v>0.12001834883720938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34-4367-BD1E-A6D5A5E1D8B2}"/>
            </c:ext>
          </c:extLst>
        </c:ser>
        <c:ser>
          <c:idx val="4"/>
          <c:order val="4"/>
          <c:tx>
            <c:v>Fe + Si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9050">
                <a:prstDash val="lgDashDot"/>
              </a:ln>
            </c:spPr>
            <c:trendlineType val="linear"/>
            <c:dispRSqr val="1"/>
            <c:dispEq val="1"/>
            <c:trendlineLbl>
              <c:layout>
                <c:manualLayout>
                  <c:x val="8.7497979541413626E-2"/>
                  <c:y val="-9.96425674063469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+Fe+Si; y = -0.0087x + 0.2214
R² = 0.045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calculations'!$V$20:$V$23</c:f>
                <c:numCache>
                  <c:formatCode>General</c:formatCode>
                  <c:ptCount val="4"/>
                  <c:pt idx="0">
                    <c:v>8.5440037453175244E-3</c:v>
                  </c:pt>
                  <c:pt idx="1">
                    <c:v>1.3138486224382682E-2</c:v>
                  </c:pt>
                  <c:pt idx="2">
                    <c:v>2.9112082245879266E-2</c:v>
                  </c:pt>
                  <c:pt idx="3">
                    <c:v>3.8515295459217086E-2</c:v>
                  </c:pt>
                </c:numCache>
              </c:numRef>
            </c:plus>
            <c:minus>
              <c:numRef>
                <c:f>'stats and calculations'!$V$20:$V$23</c:f>
                <c:numCache>
                  <c:formatCode>General</c:formatCode>
                  <c:ptCount val="4"/>
                  <c:pt idx="0">
                    <c:v>8.5440037453175244E-3</c:v>
                  </c:pt>
                  <c:pt idx="1">
                    <c:v>1.3138486224382682E-2</c:v>
                  </c:pt>
                  <c:pt idx="2">
                    <c:v>2.9112082245879266E-2</c:v>
                  </c:pt>
                  <c:pt idx="3">
                    <c:v>3.8515295459217086E-2</c:v>
                  </c:pt>
                </c:numCache>
              </c:numRef>
            </c:minus>
          </c:errBars>
          <c:xVal>
            <c:numRef>
              <c:f>'stats and calculations'!$AD$20:$AD$23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2.1444444444423425</c:v>
                </c:pt>
                <c:pt idx="3">
                  <c:v>5.1444444444423425</c:v>
                </c:pt>
              </c:numCache>
            </c:numRef>
          </c:xVal>
          <c:yVal>
            <c:numRef>
              <c:f>'stats and calculations'!$U$20:$U$23</c:f>
              <c:numCache>
                <c:formatCode>General</c:formatCode>
                <c:ptCount val="4"/>
                <c:pt idx="0">
                  <c:v>0.17000000000000004</c:v>
                </c:pt>
                <c:pt idx="1">
                  <c:v>0.17971383843137256</c:v>
                </c:pt>
                <c:pt idx="2">
                  <c:v>0.33520632653061228</c:v>
                </c:pt>
                <c:pt idx="3">
                  <c:v>0.12822855312954884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34-4367-BD1E-A6D5A5E1D8B2}"/>
            </c:ext>
          </c:extLst>
        </c:ser>
        <c:ser>
          <c:idx val="5"/>
          <c:order val="5"/>
          <c:tx>
            <c:v>Fe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trendline>
            <c:spPr>
              <a:ln w="15875"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6.4617729235458471E-2"/>
                  <c:y val="-0.1226326254672711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+Fe; y = 0.0025x + 0.1981
R² = 0.0006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'stats and calculations'!$X$20:$X$23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'stats and calculations'!$X$20:$X$23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</c:errBars>
          <c:xVal>
            <c:numRef>
              <c:f>'stats and calculations'!$AE$20:$AE$23</c:f>
              <c:numCache>
                <c:formatCode>[h]:mm:ss;@</c:formatCode>
                <c:ptCount val="4"/>
                <c:pt idx="0">
                  <c:v>0</c:v>
                </c:pt>
                <c:pt idx="1">
                  <c:v>1.0541666666686069</c:v>
                </c:pt>
                <c:pt idx="2">
                  <c:v>2.1652777777781012</c:v>
                </c:pt>
                <c:pt idx="3">
                  <c:v>5.1652777777781012</c:v>
                </c:pt>
              </c:numCache>
            </c:numRef>
          </c:xVal>
          <c:yVal>
            <c:numRef>
              <c:f>'stats and calculations'!$W$20:$W$23</c:f>
              <c:numCache>
                <c:formatCode>General</c:formatCode>
                <c:ptCount val="4"/>
                <c:pt idx="0">
                  <c:v>0.17000000000000004</c:v>
                </c:pt>
                <c:pt idx="1">
                  <c:v>0</c:v>
                </c:pt>
                <c:pt idx="2">
                  <c:v>0.52687210526315797</c:v>
                </c:pt>
                <c:pt idx="3">
                  <c:v>0.1165021877022657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34-4367-BD1E-A6D5A5E1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285312"/>
        <c:axId val="150680704"/>
      </c:scatterChart>
      <c:valAx>
        <c:axId val="150285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Time (hours)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[h]:mm:ss;@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80704"/>
        <c:crosses val="autoZero"/>
        <c:crossBetween val="midCat"/>
      </c:valAx>
      <c:valAx>
        <c:axId val="150680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800">
                    <a:solidFill>
                      <a:sysClr val="windowText" lastClr="000000"/>
                    </a:solidFill>
                  </a:rPr>
                  <a:t>mean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Pheo/C</a:t>
                </a:r>
                <a:r>
                  <a:rPr lang="en-US" sz="2800">
                    <a:solidFill>
                      <a:sysClr val="windowText" lastClr="000000"/>
                    </a:solidFill>
                  </a:rPr>
                  <a:t>hl</a:t>
                </a:r>
                <a:r>
                  <a:rPr lang="en-US" sz="2800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sz="2800" i="1" baseline="0">
                    <a:solidFill>
                      <a:sysClr val="windowText" lastClr="000000"/>
                    </a:solidFill>
                  </a:rPr>
                  <a:t>a</a:t>
                </a:r>
                <a:endParaRPr lang="en-US" sz="28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in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2853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896768046327276"/>
          <c:y val="8.6453992651157593E-2"/>
          <c:w val="0.14693359678486026"/>
          <c:h val="0.44160443647998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19200" y="476250"/>
    <xdr:ext cx="10773458" cy="7272358"/>
    <xdr:graphicFrame macro="">
      <xdr:nvGraphicFramePr>
        <xdr:cNvPr id="9" name="Chart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F%20$TN376_exp_1_all_time_points_ch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"/>
      <sheetName val="Results"/>
      <sheetName val="simbios"/>
      <sheetName val="stn info"/>
      <sheetName val="stats &amp; calculations"/>
      <sheetName val="Mean chl vs time plot"/>
      <sheetName val="Mean pheo vs time plot"/>
      <sheetName val="Mean pheo over chl vs time"/>
    </sheetNames>
    <sheetDataSet>
      <sheetData sheetId="0" refreshError="1">
        <row r="3">
          <cell r="A3" t="str">
            <v>control 1</v>
          </cell>
        </row>
        <row r="4">
          <cell r="A4" t="str">
            <v>control 2</v>
          </cell>
        </row>
        <row r="5">
          <cell r="A5" t="str">
            <v>control 3</v>
          </cell>
          <cell r="D5">
            <v>0</v>
          </cell>
        </row>
        <row r="6">
          <cell r="A6" t="str">
            <v>SAMW 4</v>
          </cell>
        </row>
        <row r="7">
          <cell r="A7" t="str">
            <v>SAMW 5</v>
          </cell>
        </row>
        <row r="8">
          <cell r="A8" t="str">
            <v>SAMW 6</v>
          </cell>
          <cell r="D8">
            <v>9.3055555553291924E-2</v>
          </cell>
        </row>
        <row r="9">
          <cell r="A9" t="str">
            <v>control 1</v>
          </cell>
        </row>
        <row r="10">
          <cell r="A10" t="str">
            <v>control 2</v>
          </cell>
        </row>
        <row r="11">
          <cell r="A11" t="str">
            <v>control 3</v>
          </cell>
          <cell r="D11">
            <v>1.0541666666686069</v>
          </cell>
        </row>
        <row r="12">
          <cell r="A12" t="str">
            <v>NO3 4</v>
          </cell>
        </row>
        <row r="13">
          <cell r="A13" t="str">
            <v>NO3 5</v>
          </cell>
        </row>
        <row r="14">
          <cell r="A14" t="str">
            <v>NO3 6</v>
          </cell>
          <cell r="D14">
            <v>1.0541666666686069</v>
          </cell>
        </row>
        <row r="15">
          <cell r="A15" t="str">
            <v>SAMW 7</v>
          </cell>
        </row>
        <row r="16">
          <cell r="A16" t="str">
            <v>SAMW 8</v>
          </cell>
        </row>
        <row r="17">
          <cell r="A17" t="str">
            <v>SAMW 9</v>
          </cell>
          <cell r="D17">
            <v>1.0541666666686069</v>
          </cell>
        </row>
        <row r="18">
          <cell r="A18" t="str">
            <v>Si 10</v>
          </cell>
        </row>
        <row r="19">
          <cell r="A19" t="str">
            <v>Si 11</v>
          </cell>
        </row>
        <row r="20">
          <cell r="A20" t="str">
            <v>Si 12</v>
          </cell>
          <cell r="D20">
            <v>1.0541666666686069</v>
          </cell>
        </row>
        <row r="21">
          <cell r="A21" t="str">
            <v>Fe + Si 13</v>
          </cell>
        </row>
        <row r="22">
          <cell r="A22" t="str">
            <v>Fe + Si 14</v>
          </cell>
        </row>
        <row r="23">
          <cell r="A23" t="str">
            <v>Fe + Si 15</v>
          </cell>
          <cell r="D23">
            <v>1.0541666666686069</v>
          </cell>
        </row>
        <row r="24">
          <cell r="A24" t="str">
            <v>Fe 16</v>
          </cell>
        </row>
        <row r="25">
          <cell r="A25" t="str">
            <v>Fe 17</v>
          </cell>
        </row>
        <row r="26">
          <cell r="A26" t="str">
            <v>Fe 18</v>
          </cell>
          <cell r="D26">
            <v>1.0541666666686069</v>
          </cell>
        </row>
        <row r="27">
          <cell r="A27" t="str">
            <v>control 1</v>
          </cell>
        </row>
        <row r="28">
          <cell r="A28" t="str">
            <v>control 2</v>
          </cell>
        </row>
        <row r="29">
          <cell r="A29" t="str">
            <v>control 3</v>
          </cell>
          <cell r="D29">
            <v>2.0645833333328483</v>
          </cell>
        </row>
        <row r="30">
          <cell r="A30" t="str">
            <v>NO3 4</v>
          </cell>
        </row>
        <row r="31">
          <cell r="A31" t="str">
            <v>NO3 5</v>
          </cell>
        </row>
        <row r="32">
          <cell r="A32" t="str">
            <v>NO3 6</v>
          </cell>
          <cell r="D32">
            <v>2.0854166666686069</v>
          </cell>
        </row>
        <row r="33">
          <cell r="A33" t="str">
            <v>SAMW 7</v>
          </cell>
        </row>
        <row r="34">
          <cell r="A34" t="str">
            <v>SAMW 8</v>
          </cell>
        </row>
        <row r="35">
          <cell r="A35" t="str">
            <v>SAMW 9</v>
          </cell>
          <cell r="D35">
            <v>2.1062499999970896</v>
          </cell>
        </row>
        <row r="36">
          <cell r="A36" t="str">
            <v>Si 10</v>
          </cell>
        </row>
        <row r="37">
          <cell r="A37" t="str">
            <v>Si 11</v>
          </cell>
        </row>
        <row r="38">
          <cell r="A38" t="str">
            <v>Si 12</v>
          </cell>
          <cell r="D38">
            <v>2.1270833333328483</v>
          </cell>
        </row>
        <row r="39">
          <cell r="A39" t="str">
            <v>Fe + Si 13</v>
          </cell>
        </row>
        <row r="40">
          <cell r="A40" t="str">
            <v>Fe + Si 14</v>
          </cell>
        </row>
        <row r="41">
          <cell r="A41" t="str">
            <v>Fe + Si 15</v>
          </cell>
          <cell r="D41">
            <v>2.1444444444423425</v>
          </cell>
        </row>
        <row r="42">
          <cell r="A42" t="str">
            <v>Fe 16</v>
          </cell>
        </row>
        <row r="43">
          <cell r="A43" t="str">
            <v>Fe 17</v>
          </cell>
        </row>
        <row r="44">
          <cell r="A44" t="str">
            <v>Fe 18</v>
          </cell>
          <cell r="D44">
            <v>2.1652777777781012</v>
          </cell>
        </row>
        <row r="45">
          <cell r="A45" t="str">
            <v>control 1</v>
          </cell>
        </row>
        <row r="46">
          <cell r="A46" t="str">
            <v>control 2</v>
          </cell>
        </row>
        <row r="47">
          <cell r="A47" t="str">
            <v>control 3</v>
          </cell>
          <cell r="D47">
            <v>5.0645833333328483</v>
          </cell>
        </row>
        <row r="48">
          <cell r="A48" t="str">
            <v>NO3 4</v>
          </cell>
        </row>
        <row r="49">
          <cell r="A49" t="str">
            <v>NO3 5</v>
          </cell>
        </row>
        <row r="50">
          <cell r="A50" t="str">
            <v>NO3 6</v>
          </cell>
          <cell r="D50">
            <v>5.0854166666686069</v>
          </cell>
        </row>
        <row r="51">
          <cell r="A51" t="str">
            <v>SAMW 7</v>
          </cell>
        </row>
        <row r="52">
          <cell r="A52" t="str">
            <v>SAMW 8</v>
          </cell>
        </row>
        <row r="53">
          <cell r="A53" t="str">
            <v>SAMW 9</v>
          </cell>
          <cell r="D53">
            <v>5.1062499999970896</v>
          </cell>
        </row>
        <row r="54">
          <cell r="A54" t="str">
            <v>Si 10</v>
          </cell>
        </row>
        <row r="55">
          <cell r="A55" t="str">
            <v>Si 11</v>
          </cell>
        </row>
        <row r="56">
          <cell r="A56" t="str">
            <v>Si 12</v>
          </cell>
          <cell r="D56">
            <v>5.1270833333328483</v>
          </cell>
        </row>
        <row r="57">
          <cell r="A57" t="str">
            <v>Fe + Si 13</v>
          </cell>
        </row>
        <row r="58">
          <cell r="A58" t="str">
            <v>Fe + Si 14</v>
          </cell>
        </row>
        <row r="59">
          <cell r="A59" t="str">
            <v>Fe + Si 15</v>
          </cell>
          <cell r="D59">
            <v>5.1444444444423425</v>
          </cell>
        </row>
        <row r="60">
          <cell r="A60" t="str">
            <v>Fe 16</v>
          </cell>
        </row>
        <row r="61">
          <cell r="A61" t="str">
            <v>Fe 17</v>
          </cell>
        </row>
        <row r="62">
          <cell r="A62" t="str">
            <v>Fe 18</v>
          </cell>
          <cell r="D62">
            <v>5.1652777777781012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62"/>
  <sheetViews>
    <sheetView workbookViewId="0">
      <selection activeCell="H47" sqref="H47"/>
    </sheetView>
  </sheetViews>
  <sheetFormatPr defaultRowHeight="12.5"/>
  <cols>
    <col min="2" max="2" width="7.26953125" bestFit="1" customWidth="1"/>
    <col min="3" max="3" width="11.81640625" bestFit="1" customWidth="1"/>
    <col min="4" max="4" width="13" style="30" bestFit="1" customWidth="1"/>
    <col min="5" max="6" width="8.7265625" style="22" customWidth="1"/>
    <col min="7" max="7" width="9.453125" style="22" customWidth="1"/>
    <col min="8" max="8" width="9.26953125" style="22" customWidth="1"/>
    <col min="9" max="9" width="5.7265625" customWidth="1"/>
    <col min="10" max="11" width="7.26953125" customWidth="1"/>
    <col min="12" max="12" width="11.453125" customWidth="1"/>
    <col min="13" max="13" width="12.54296875" customWidth="1"/>
    <col min="14" max="14" width="11.81640625" customWidth="1"/>
  </cols>
  <sheetData>
    <row r="1" spans="1:14">
      <c r="B1" t="s">
        <v>50</v>
      </c>
      <c r="C1" t="s">
        <v>52</v>
      </c>
      <c r="G1" s="28" t="s">
        <v>51</v>
      </c>
      <c r="H1" s="28"/>
      <c r="I1" s="29"/>
    </row>
    <row r="2" spans="1:14" s="20" customFormat="1" ht="34.5" customHeight="1">
      <c r="A2" s="20" t="s">
        <v>72</v>
      </c>
      <c r="B2" s="21" t="s">
        <v>22</v>
      </c>
      <c r="C2" s="21" t="s">
        <v>23</v>
      </c>
      <c r="D2" s="31" t="s">
        <v>71</v>
      </c>
      <c r="E2" s="2" t="s">
        <v>20</v>
      </c>
      <c r="F2" s="2" t="s">
        <v>21</v>
      </c>
      <c r="G2" s="2" t="s">
        <v>46</v>
      </c>
      <c r="H2" s="2" t="s">
        <v>47</v>
      </c>
      <c r="I2" s="2" t="s">
        <v>48</v>
      </c>
      <c r="J2" s="26" t="s">
        <v>45</v>
      </c>
      <c r="M2" s="47"/>
      <c r="N2" s="47"/>
    </row>
    <row r="3" spans="1:14">
      <c r="A3" s="51" t="s">
        <v>53</v>
      </c>
      <c r="B3" s="17">
        <v>247</v>
      </c>
      <c r="C3" s="39">
        <v>42404.798611111109</v>
      </c>
      <c r="D3" s="40">
        <v>0</v>
      </c>
      <c r="E3" s="19">
        <v>1.48</v>
      </c>
      <c r="F3" s="19">
        <v>0.96099999999999997</v>
      </c>
      <c r="G3" s="19" t="s">
        <v>102</v>
      </c>
      <c r="H3">
        <f>E3-IF(G3="h",$M$3,IF(G3="m",$M$4,IF(G3="l",$M$5,-99)))</f>
        <v>1.4750000000000001</v>
      </c>
      <c r="I3">
        <f>F3-IF(G3="h",$M$3,IF(G3="m",$M$4,IF(G3="l",$M$5,-99)))</f>
        <v>0.95599999999999996</v>
      </c>
      <c r="J3" s="17">
        <v>1.9438</v>
      </c>
      <c r="K3" t="s">
        <v>103</v>
      </c>
      <c r="L3" s="45" t="s">
        <v>104</v>
      </c>
      <c r="M3" s="48">
        <v>0.374</v>
      </c>
      <c r="N3" s="48"/>
    </row>
    <row r="4" spans="1:14">
      <c r="A4" s="51" t="s">
        <v>54</v>
      </c>
      <c r="B4" s="16">
        <f>B3+1</f>
        <v>248</v>
      </c>
      <c r="C4" s="39">
        <v>42404.798611111109</v>
      </c>
      <c r="D4" s="40">
        <v>0</v>
      </c>
      <c r="E4" s="19">
        <v>1.46</v>
      </c>
      <c r="F4" s="19">
        <v>0.9</v>
      </c>
      <c r="G4" s="19" t="s">
        <v>102</v>
      </c>
      <c r="H4">
        <f t="shared" ref="H4:H8" si="0">E4-IF(G4="h",$M$3,IF(G4="m",$M$4,IF(G4="l",$M$5,-99)))</f>
        <v>1.4550000000000001</v>
      </c>
      <c r="I4">
        <f t="shared" ref="I4:I8" si="1">F4-IF(G4="h",$M$3,IF(G4="m",$M$4,IF(G4="l",$M$5,-99)))</f>
        <v>0.89500000000000002</v>
      </c>
      <c r="K4" t="s">
        <v>105</v>
      </c>
      <c r="L4" s="46"/>
      <c r="M4" s="48">
        <v>0</v>
      </c>
      <c r="N4" s="48"/>
    </row>
    <row r="5" spans="1:14">
      <c r="A5" s="51" t="s">
        <v>55</v>
      </c>
      <c r="B5" s="16">
        <f t="shared" ref="B5:B60" si="2">B4+1</f>
        <v>249</v>
      </c>
      <c r="C5" s="39">
        <v>42404.798611111109</v>
      </c>
      <c r="D5" s="40">
        <v>0</v>
      </c>
      <c r="E5" s="19">
        <v>0.42799999999999999</v>
      </c>
      <c r="F5" s="19">
        <v>0.30599999999999999</v>
      </c>
      <c r="G5" s="19" t="s">
        <v>102</v>
      </c>
      <c r="H5">
        <f t="shared" si="0"/>
        <v>0.42299999999999999</v>
      </c>
      <c r="I5">
        <f t="shared" si="1"/>
        <v>0.30099999999999999</v>
      </c>
      <c r="K5" t="s">
        <v>102</v>
      </c>
      <c r="L5" s="46"/>
      <c r="M5" s="48">
        <v>5.0000000000000001E-3</v>
      </c>
      <c r="N5" s="48"/>
    </row>
    <row r="6" spans="1:14">
      <c r="A6" s="51" t="s">
        <v>74</v>
      </c>
      <c r="B6" s="16">
        <f t="shared" si="2"/>
        <v>250</v>
      </c>
      <c r="C6" s="39">
        <v>42404.798611111109</v>
      </c>
      <c r="D6" s="40">
        <v>0</v>
      </c>
      <c r="E6" s="19">
        <v>1.48</v>
      </c>
      <c r="F6" s="19">
        <v>0.93500000000000005</v>
      </c>
      <c r="G6" s="19" t="s">
        <v>102</v>
      </c>
      <c r="H6">
        <f t="shared" si="0"/>
        <v>1.4750000000000001</v>
      </c>
      <c r="I6">
        <f t="shared" si="1"/>
        <v>0.93</v>
      </c>
      <c r="K6" t="s">
        <v>103</v>
      </c>
      <c r="L6" t="s">
        <v>106</v>
      </c>
      <c r="M6">
        <v>1.9</v>
      </c>
    </row>
    <row r="7" spans="1:14">
      <c r="A7" s="51" t="s">
        <v>75</v>
      </c>
      <c r="B7" s="16">
        <f t="shared" si="2"/>
        <v>251</v>
      </c>
      <c r="C7" s="39">
        <v>42404.798611111109</v>
      </c>
      <c r="D7" s="40">
        <v>0</v>
      </c>
      <c r="E7" s="19">
        <v>1.27</v>
      </c>
      <c r="F7" s="19">
        <v>0.79600000000000004</v>
      </c>
      <c r="G7" s="19" t="s">
        <v>102</v>
      </c>
      <c r="H7">
        <f t="shared" si="0"/>
        <v>1.2650000000000001</v>
      </c>
      <c r="I7">
        <f t="shared" si="1"/>
        <v>0.79100000000000004</v>
      </c>
      <c r="K7" t="s">
        <v>105</v>
      </c>
      <c r="M7">
        <v>0.2</v>
      </c>
    </row>
    <row r="8" spans="1:14">
      <c r="A8" s="51" t="s">
        <v>76</v>
      </c>
      <c r="B8" s="16">
        <f t="shared" si="2"/>
        <v>252</v>
      </c>
      <c r="C8" s="39">
        <v>42404.798611111109</v>
      </c>
      <c r="D8" s="40">
        <v>0</v>
      </c>
      <c r="E8" s="19">
        <v>1.32</v>
      </c>
      <c r="F8" s="19">
        <v>0.80600000000000005</v>
      </c>
      <c r="G8" s="19" t="s">
        <v>102</v>
      </c>
      <c r="H8">
        <f t="shared" si="0"/>
        <v>1.3150000000000002</v>
      </c>
      <c r="I8">
        <f t="shared" si="1"/>
        <v>0.80100000000000005</v>
      </c>
      <c r="K8" t="s">
        <v>102</v>
      </c>
      <c r="M8">
        <v>0</v>
      </c>
    </row>
    <row r="9" spans="1:14">
      <c r="A9" t="s">
        <v>53</v>
      </c>
      <c r="B9" s="16">
        <v>270</v>
      </c>
      <c r="C9" s="39">
        <v>42405.69027777778</v>
      </c>
      <c r="D9" s="40">
        <v>0.89166666666666661</v>
      </c>
      <c r="E9" s="19">
        <v>1.97</v>
      </c>
      <c r="F9" s="19">
        <v>1.07</v>
      </c>
      <c r="G9" s="19" t="s">
        <v>102</v>
      </c>
      <c r="H9">
        <f>E9-IF(G9="h",$M$6,IF(G9="m",$M$7,IF(G9="l",$M$8,-99)))</f>
        <v>1.97</v>
      </c>
      <c r="I9">
        <f>F9-IF(G9="h",$M$6,IF(G9="m",$M$7,IF(G9="l",$M$8,-99)))</f>
        <v>1.07</v>
      </c>
      <c r="K9" t="s">
        <v>103</v>
      </c>
      <c r="L9" t="s">
        <v>107</v>
      </c>
      <c r="M9">
        <v>1.9</v>
      </c>
    </row>
    <row r="10" spans="1:14">
      <c r="A10" t="s">
        <v>54</v>
      </c>
      <c r="B10" s="16">
        <f t="shared" si="2"/>
        <v>271</v>
      </c>
      <c r="C10" s="39">
        <v>42405.69027777778</v>
      </c>
      <c r="D10" s="40">
        <v>0.89166666666666661</v>
      </c>
      <c r="E10" s="19">
        <v>1.93</v>
      </c>
      <c r="F10" s="19">
        <v>1.1499999999999999</v>
      </c>
      <c r="G10" s="19" t="s">
        <v>102</v>
      </c>
      <c r="H10">
        <f t="shared" ref="H10:H24" si="3">E10-IF(G10="h",$M$6,IF(G10="m",$M$7,IF(G10="l",$M$8,-99)))</f>
        <v>1.93</v>
      </c>
      <c r="I10">
        <f t="shared" ref="I10:I24" si="4">F10-IF(G10="h",$M$6,IF(G10="m",$M$7,IF(G10="l",$M$8,-99)))</f>
        <v>1.1499999999999999</v>
      </c>
      <c r="K10" t="s">
        <v>105</v>
      </c>
      <c r="M10">
        <v>0</v>
      </c>
    </row>
    <row r="11" spans="1:14">
      <c r="A11" t="s">
        <v>55</v>
      </c>
      <c r="B11" s="16">
        <f t="shared" si="2"/>
        <v>272</v>
      </c>
      <c r="C11" s="39">
        <v>42405.69027777778</v>
      </c>
      <c r="D11" s="40">
        <v>0.89166666666666661</v>
      </c>
      <c r="E11" s="19">
        <v>1.96</v>
      </c>
      <c r="F11" s="19">
        <v>1.1499999999999999</v>
      </c>
      <c r="G11" s="19" t="s">
        <v>102</v>
      </c>
      <c r="H11">
        <f t="shared" si="3"/>
        <v>1.96</v>
      </c>
      <c r="I11">
        <f t="shared" si="4"/>
        <v>1.1499999999999999</v>
      </c>
      <c r="K11" t="s">
        <v>102</v>
      </c>
      <c r="M11">
        <v>0</v>
      </c>
    </row>
    <row r="12" spans="1:14">
      <c r="A12" t="s">
        <v>56</v>
      </c>
      <c r="B12" s="16">
        <f t="shared" si="2"/>
        <v>273</v>
      </c>
      <c r="C12" s="39">
        <v>42405.710416666669</v>
      </c>
      <c r="D12" s="40">
        <v>0.91180555555555554</v>
      </c>
      <c r="E12" s="19">
        <v>2.89</v>
      </c>
      <c r="F12" s="19">
        <v>1.69</v>
      </c>
      <c r="G12" s="19" t="s">
        <v>102</v>
      </c>
      <c r="H12">
        <f t="shared" si="3"/>
        <v>2.89</v>
      </c>
      <c r="I12">
        <f t="shared" si="4"/>
        <v>1.69</v>
      </c>
      <c r="K12" t="s">
        <v>103</v>
      </c>
      <c r="L12" t="s">
        <v>108</v>
      </c>
      <c r="M12">
        <v>1.9</v>
      </c>
    </row>
    <row r="13" spans="1:14">
      <c r="A13" t="s">
        <v>57</v>
      </c>
      <c r="B13" s="16">
        <f t="shared" si="2"/>
        <v>274</v>
      </c>
      <c r="C13" s="39">
        <v>42405.710416666669</v>
      </c>
      <c r="D13" s="40">
        <v>0.91180555555555554</v>
      </c>
      <c r="E13" s="19">
        <v>3.62</v>
      </c>
      <c r="F13" s="19">
        <v>2.08</v>
      </c>
      <c r="G13" s="19" t="s">
        <v>102</v>
      </c>
      <c r="H13">
        <f t="shared" si="3"/>
        <v>3.62</v>
      </c>
      <c r="I13">
        <f t="shared" si="4"/>
        <v>2.08</v>
      </c>
      <c r="K13" t="s">
        <v>105</v>
      </c>
      <c r="M13">
        <v>0</v>
      </c>
    </row>
    <row r="14" spans="1:14">
      <c r="A14" t="s">
        <v>58</v>
      </c>
      <c r="B14" s="16">
        <f t="shared" si="2"/>
        <v>275</v>
      </c>
      <c r="C14" s="39">
        <v>42405.710416666669</v>
      </c>
      <c r="D14" s="40">
        <v>0.91180555555555554</v>
      </c>
      <c r="E14" s="19">
        <v>3.01</v>
      </c>
      <c r="F14" s="19">
        <v>1.83</v>
      </c>
      <c r="G14" s="19" t="s">
        <v>102</v>
      </c>
      <c r="H14">
        <f t="shared" si="3"/>
        <v>3.01</v>
      </c>
      <c r="I14">
        <f t="shared" si="4"/>
        <v>1.83</v>
      </c>
      <c r="K14" t="s">
        <v>102</v>
      </c>
      <c r="M14">
        <v>0</v>
      </c>
    </row>
    <row r="15" spans="1:14">
      <c r="A15" t="s">
        <v>59</v>
      </c>
      <c r="B15" s="16">
        <f t="shared" si="2"/>
        <v>276</v>
      </c>
      <c r="C15" s="39">
        <v>42405.729166666664</v>
      </c>
      <c r="D15" s="40">
        <v>0.93055555555555547</v>
      </c>
      <c r="E15" s="19">
        <v>2.6</v>
      </c>
      <c r="F15" s="19">
        <v>1.56</v>
      </c>
      <c r="G15" s="19" t="s">
        <v>102</v>
      </c>
      <c r="H15">
        <f t="shared" si="3"/>
        <v>2.6</v>
      </c>
      <c r="I15">
        <f t="shared" si="4"/>
        <v>1.56</v>
      </c>
      <c r="K15" t="s">
        <v>103</v>
      </c>
      <c r="L15" t="s">
        <v>109</v>
      </c>
      <c r="M15">
        <v>1.9</v>
      </c>
    </row>
    <row r="16" spans="1:14">
      <c r="A16" t="s">
        <v>60</v>
      </c>
      <c r="B16" s="16">
        <f t="shared" si="2"/>
        <v>277</v>
      </c>
      <c r="C16" s="39">
        <v>42405.729166666664</v>
      </c>
      <c r="D16" s="40">
        <v>0.93055555555555547</v>
      </c>
      <c r="E16" s="19">
        <v>2.52</v>
      </c>
      <c r="F16" s="19">
        <v>1.43</v>
      </c>
      <c r="G16" s="19" t="s">
        <v>102</v>
      </c>
      <c r="H16">
        <f t="shared" si="3"/>
        <v>2.52</v>
      </c>
      <c r="I16">
        <f t="shared" si="4"/>
        <v>1.43</v>
      </c>
      <c r="K16" t="s">
        <v>105</v>
      </c>
      <c r="M16">
        <v>0</v>
      </c>
    </row>
    <row r="17" spans="1:13">
      <c r="A17" t="s">
        <v>61</v>
      </c>
      <c r="B17" s="16">
        <f t="shared" si="2"/>
        <v>278</v>
      </c>
      <c r="C17" s="39">
        <v>42405.729166666664</v>
      </c>
      <c r="D17" s="40">
        <v>0.93055555555555547</v>
      </c>
      <c r="E17" s="19">
        <v>2.7</v>
      </c>
      <c r="F17" s="19">
        <v>1.62</v>
      </c>
      <c r="G17" s="19" t="s">
        <v>102</v>
      </c>
      <c r="H17">
        <f t="shared" si="3"/>
        <v>2.7</v>
      </c>
      <c r="I17">
        <f t="shared" si="4"/>
        <v>1.62</v>
      </c>
      <c r="K17" t="s">
        <v>102</v>
      </c>
      <c r="M17">
        <v>0</v>
      </c>
    </row>
    <row r="18" spans="1:13">
      <c r="A18" t="s">
        <v>62</v>
      </c>
      <c r="B18" s="16">
        <f t="shared" si="2"/>
        <v>279</v>
      </c>
      <c r="C18" s="39">
        <v>42405.745138888888</v>
      </c>
      <c r="D18" s="40">
        <v>0.94652777777777775</v>
      </c>
      <c r="E18" s="19">
        <v>1.88</v>
      </c>
      <c r="F18" s="19">
        <v>1.1200000000000001</v>
      </c>
      <c r="G18" s="19" t="s">
        <v>102</v>
      </c>
      <c r="H18">
        <f t="shared" si="3"/>
        <v>1.88</v>
      </c>
      <c r="I18">
        <f t="shared" si="4"/>
        <v>1.1200000000000001</v>
      </c>
      <c r="K18" t="s">
        <v>103</v>
      </c>
      <c r="L18" t="s">
        <v>110</v>
      </c>
      <c r="M18">
        <v>1.9</v>
      </c>
    </row>
    <row r="19" spans="1:13">
      <c r="A19" t="s">
        <v>63</v>
      </c>
      <c r="B19" s="16">
        <f t="shared" si="2"/>
        <v>280</v>
      </c>
      <c r="C19" s="39">
        <v>42405.745138888888</v>
      </c>
      <c r="D19" s="40">
        <v>0.94652777777777775</v>
      </c>
      <c r="E19" s="19">
        <v>1.89</v>
      </c>
      <c r="F19" s="19">
        <v>1.1000000000000001</v>
      </c>
      <c r="G19" s="19" t="s">
        <v>102</v>
      </c>
      <c r="H19">
        <f t="shared" si="3"/>
        <v>1.89</v>
      </c>
      <c r="I19">
        <f t="shared" si="4"/>
        <v>1.1000000000000001</v>
      </c>
      <c r="K19" t="s">
        <v>105</v>
      </c>
      <c r="M19">
        <v>0</v>
      </c>
    </row>
    <row r="20" spans="1:13">
      <c r="A20" t="s">
        <v>64</v>
      </c>
      <c r="B20" s="16">
        <f t="shared" si="2"/>
        <v>281</v>
      </c>
      <c r="C20" s="39">
        <v>42405.745138888888</v>
      </c>
      <c r="D20" s="40">
        <v>0.94652777777777775</v>
      </c>
      <c r="E20" s="19">
        <v>1.72</v>
      </c>
      <c r="F20" s="19">
        <v>0.99399999999999999</v>
      </c>
      <c r="G20" s="19" t="s">
        <v>102</v>
      </c>
      <c r="H20">
        <f t="shared" si="3"/>
        <v>1.72</v>
      </c>
      <c r="I20">
        <f t="shared" si="4"/>
        <v>0.99399999999999999</v>
      </c>
      <c r="K20" t="s">
        <v>102</v>
      </c>
      <c r="M20">
        <v>0</v>
      </c>
    </row>
    <row r="21" spans="1:13">
      <c r="A21" t="s">
        <v>65</v>
      </c>
      <c r="B21" s="16">
        <f t="shared" si="2"/>
        <v>282</v>
      </c>
      <c r="C21" s="39">
        <v>42405.763888888891</v>
      </c>
      <c r="D21" s="40">
        <v>0.96527777777777779</v>
      </c>
      <c r="E21" s="19">
        <v>1.61</v>
      </c>
      <c r="F21" s="19">
        <v>0.95799999999999996</v>
      </c>
      <c r="G21" s="19" t="s">
        <v>102</v>
      </c>
      <c r="H21">
        <f t="shared" si="3"/>
        <v>1.61</v>
      </c>
      <c r="I21">
        <f t="shared" si="4"/>
        <v>0.95799999999999996</v>
      </c>
      <c r="K21" t="s">
        <v>103</v>
      </c>
      <c r="L21" t="s">
        <v>111</v>
      </c>
    </row>
    <row r="22" spans="1:13" ht="12" customHeight="1">
      <c r="A22" t="s">
        <v>66</v>
      </c>
      <c r="B22" s="16">
        <f t="shared" si="2"/>
        <v>283</v>
      </c>
      <c r="C22" s="39">
        <v>42405.763888888891</v>
      </c>
      <c r="D22" s="40">
        <v>0.96527777777777779</v>
      </c>
      <c r="E22" s="19">
        <v>1.71</v>
      </c>
      <c r="F22" s="19">
        <v>1.02</v>
      </c>
      <c r="G22" s="19" t="s">
        <v>102</v>
      </c>
      <c r="H22">
        <f t="shared" si="3"/>
        <v>1.71</v>
      </c>
      <c r="I22">
        <f t="shared" si="4"/>
        <v>1.02</v>
      </c>
      <c r="K22" t="s">
        <v>105</v>
      </c>
    </row>
    <row r="23" spans="1:13">
      <c r="A23" t="s">
        <v>67</v>
      </c>
      <c r="B23" s="16">
        <f t="shared" si="2"/>
        <v>284</v>
      </c>
      <c r="C23" s="39">
        <v>42405.763888888891</v>
      </c>
      <c r="D23" s="40">
        <v>0.96527777777777779</v>
      </c>
      <c r="E23" s="19">
        <v>1.78</v>
      </c>
      <c r="F23" s="19">
        <v>1.05</v>
      </c>
      <c r="G23" s="19" t="s">
        <v>102</v>
      </c>
      <c r="H23">
        <f t="shared" si="3"/>
        <v>1.78</v>
      </c>
      <c r="I23">
        <f t="shared" si="4"/>
        <v>1.05</v>
      </c>
      <c r="K23" t="s">
        <v>102</v>
      </c>
    </row>
    <row r="24" spans="1:13">
      <c r="A24" t="s">
        <v>68</v>
      </c>
      <c r="B24" s="16">
        <f t="shared" si="2"/>
        <v>285</v>
      </c>
      <c r="C24" s="39">
        <v>42405.779861111114</v>
      </c>
      <c r="D24" s="40">
        <v>0.98125000000000007</v>
      </c>
      <c r="E24" s="19">
        <v>2.12</v>
      </c>
      <c r="F24" s="19">
        <v>1.24</v>
      </c>
      <c r="G24" s="19" t="s">
        <v>102</v>
      </c>
      <c r="H24">
        <f t="shared" si="3"/>
        <v>2.12</v>
      </c>
      <c r="I24">
        <f t="shared" si="4"/>
        <v>1.24</v>
      </c>
      <c r="K24" t="s">
        <v>103</v>
      </c>
      <c r="L24" t="s">
        <v>112</v>
      </c>
    </row>
    <row r="25" spans="1:13">
      <c r="A25" t="s">
        <v>69</v>
      </c>
      <c r="B25" s="16"/>
      <c r="C25" s="39"/>
      <c r="D25" s="40"/>
      <c r="E25" s="19"/>
      <c r="F25" s="19"/>
      <c r="G25" s="19"/>
      <c r="H25"/>
      <c r="K25" t="s">
        <v>105</v>
      </c>
    </row>
    <row r="26" spans="1:13">
      <c r="A26" t="s">
        <v>70</v>
      </c>
      <c r="B26" s="16"/>
      <c r="C26" s="39"/>
      <c r="D26" s="40"/>
      <c r="E26" s="19"/>
      <c r="F26" s="19"/>
      <c r="G26" s="19"/>
      <c r="H26"/>
      <c r="K26" t="s">
        <v>102</v>
      </c>
    </row>
    <row r="27" spans="1:13">
      <c r="A27" s="52" t="s">
        <v>53</v>
      </c>
      <c r="B27" s="16">
        <v>348</v>
      </c>
      <c r="C27" s="39">
        <v>42407.696527777778</v>
      </c>
      <c r="D27" s="40">
        <v>2.0645833333333332</v>
      </c>
      <c r="E27" s="19">
        <v>2.79</v>
      </c>
      <c r="F27" s="19">
        <v>1.62</v>
      </c>
      <c r="G27" s="19" t="s">
        <v>102</v>
      </c>
      <c r="H27">
        <f>E27-IF(G27="h",$M$9,IF(G27="m",$M$10,IF(G27="l",$M$11,-99)))</f>
        <v>2.79</v>
      </c>
      <c r="I27">
        <f>F27-IF(G27="h",$M$9,IF(G27="m",$M$10,IF(G27="l",$M$11,-99)))</f>
        <v>1.62</v>
      </c>
      <c r="K27" t="s">
        <v>103</v>
      </c>
      <c r="L27" t="s">
        <v>113</v>
      </c>
    </row>
    <row r="28" spans="1:13">
      <c r="A28" s="52" t="s">
        <v>54</v>
      </c>
      <c r="B28" s="16">
        <f t="shared" si="2"/>
        <v>349</v>
      </c>
      <c r="C28" s="39">
        <v>42407.696527777778</v>
      </c>
      <c r="D28" s="40">
        <v>2.0645833333333332</v>
      </c>
      <c r="E28" s="19">
        <v>3.14</v>
      </c>
      <c r="F28" s="19">
        <v>1.87</v>
      </c>
      <c r="G28" s="19" t="s">
        <v>102</v>
      </c>
      <c r="H28">
        <f t="shared" ref="H28:H42" si="5">E28-IF(G28="h",$M$9,IF(G28="m",$M$10,IF(G28="l",$M$11,-99)))</f>
        <v>3.14</v>
      </c>
      <c r="I28">
        <f t="shared" ref="I28:I42" si="6">F28-IF(G28="h",$M$9,IF(G28="m",$M$10,IF(G28="l",$M$11,-99)))</f>
        <v>1.87</v>
      </c>
      <c r="K28" t="s">
        <v>105</v>
      </c>
    </row>
    <row r="29" spans="1:13">
      <c r="A29" s="52" t="s">
        <v>55</v>
      </c>
      <c r="B29" s="16">
        <f t="shared" si="2"/>
        <v>350</v>
      </c>
      <c r="C29" s="39">
        <v>42407.696527777778</v>
      </c>
      <c r="D29" s="40">
        <v>2.0645833333333332</v>
      </c>
      <c r="E29" s="19">
        <v>3.25</v>
      </c>
      <c r="F29" s="19">
        <v>1.93</v>
      </c>
      <c r="G29" s="19" t="s">
        <v>102</v>
      </c>
      <c r="H29">
        <f t="shared" si="5"/>
        <v>3.25</v>
      </c>
      <c r="I29">
        <f t="shared" si="6"/>
        <v>1.93</v>
      </c>
      <c r="K29" t="s">
        <v>102</v>
      </c>
    </row>
    <row r="30" spans="1:13">
      <c r="A30" s="52" t="s">
        <v>56</v>
      </c>
      <c r="B30" s="16">
        <f t="shared" si="2"/>
        <v>351</v>
      </c>
      <c r="C30" s="39">
        <v>42407.711805555555</v>
      </c>
      <c r="D30" s="40">
        <v>2.0798611111111112</v>
      </c>
      <c r="E30" s="19">
        <v>7.5</v>
      </c>
      <c r="F30" s="19">
        <v>4.38</v>
      </c>
      <c r="G30" s="19" t="s">
        <v>105</v>
      </c>
      <c r="H30">
        <f t="shared" si="5"/>
        <v>7.5</v>
      </c>
      <c r="I30">
        <f t="shared" si="6"/>
        <v>4.38</v>
      </c>
    </row>
    <row r="31" spans="1:13">
      <c r="A31" s="52" t="s">
        <v>57</v>
      </c>
      <c r="B31" s="16">
        <f t="shared" si="2"/>
        <v>352</v>
      </c>
      <c r="C31" s="39">
        <v>42407.711805555555</v>
      </c>
      <c r="D31" s="40">
        <v>2.0798611111111112</v>
      </c>
      <c r="E31" s="19">
        <v>8.77</v>
      </c>
      <c r="F31" s="19">
        <v>5.09</v>
      </c>
      <c r="G31" s="19" t="s">
        <v>105</v>
      </c>
      <c r="H31">
        <f t="shared" si="5"/>
        <v>8.77</v>
      </c>
      <c r="I31">
        <f t="shared" si="6"/>
        <v>5.09</v>
      </c>
    </row>
    <row r="32" spans="1:13">
      <c r="A32" s="52" t="s">
        <v>58</v>
      </c>
      <c r="B32" s="16">
        <f t="shared" si="2"/>
        <v>353</v>
      </c>
      <c r="C32" s="39">
        <v>42407.711805555555</v>
      </c>
      <c r="D32" s="40">
        <v>2.0798611111111112</v>
      </c>
      <c r="E32" s="19">
        <v>7.86</v>
      </c>
      <c r="F32" s="19">
        <v>4.7</v>
      </c>
      <c r="G32" s="19" t="s">
        <v>105</v>
      </c>
      <c r="H32">
        <f t="shared" si="5"/>
        <v>7.86</v>
      </c>
      <c r="I32">
        <f t="shared" si="6"/>
        <v>4.7</v>
      </c>
    </row>
    <row r="33" spans="1:9">
      <c r="A33" s="52" t="s">
        <v>59</v>
      </c>
      <c r="B33" s="16">
        <f t="shared" si="2"/>
        <v>354</v>
      </c>
      <c r="C33" s="39">
        <v>42407.730555555558</v>
      </c>
      <c r="D33" s="40">
        <v>2.098611111111111</v>
      </c>
      <c r="E33" s="19">
        <v>4.91</v>
      </c>
      <c r="F33" s="19">
        <v>2.77</v>
      </c>
      <c r="G33" s="19" t="s">
        <v>105</v>
      </c>
      <c r="H33">
        <f t="shared" si="5"/>
        <v>4.91</v>
      </c>
      <c r="I33">
        <f t="shared" si="6"/>
        <v>2.77</v>
      </c>
    </row>
    <row r="34" spans="1:9">
      <c r="A34" s="52" t="s">
        <v>60</v>
      </c>
      <c r="B34" s="16">
        <f t="shared" si="2"/>
        <v>355</v>
      </c>
      <c r="C34" s="39">
        <v>42407.730555555558</v>
      </c>
      <c r="D34" s="40">
        <v>2.098611111111111</v>
      </c>
      <c r="E34" s="19"/>
      <c r="F34" s="19">
        <v>2.8</v>
      </c>
      <c r="G34" s="19" t="s">
        <v>105</v>
      </c>
      <c r="H34">
        <f t="shared" si="5"/>
        <v>0</v>
      </c>
      <c r="I34">
        <f t="shared" si="6"/>
        <v>2.8</v>
      </c>
    </row>
    <row r="35" spans="1:9">
      <c r="A35" s="52" t="s">
        <v>61</v>
      </c>
      <c r="B35" s="16">
        <f t="shared" si="2"/>
        <v>356</v>
      </c>
      <c r="C35" s="39">
        <v>42407.730555555558</v>
      </c>
      <c r="D35" s="40">
        <v>2.098611111111111</v>
      </c>
      <c r="E35" s="19">
        <v>5.09</v>
      </c>
      <c r="F35" s="19">
        <v>2.56</v>
      </c>
      <c r="G35" s="19" t="s">
        <v>105</v>
      </c>
      <c r="H35">
        <f t="shared" si="5"/>
        <v>5.09</v>
      </c>
      <c r="I35">
        <f t="shared" si="6"/>
        <v>2.56</v>
      </c>
    </row>
    <row r="36" spans="1:9">
      <c r="A36" s="52" t="s">
        <v>62</v>
      </c>
      <c r="B36" s="16">
        <f t="shared" si="2"/>
        <v>357</v>
      </c>
      <c r="C36" s="39">
        <v>42407.74722222222</v>
      </c>
      <c r="D36" s="40">
        <v>2.1152777777777776</v>
      </c>
      <c r="E36" s="19">
        <v>4.72</v>
      </c>
      <c r="F36" s="19">
        <v>1.41</v>
      </c>
      <c r="G36" s="19" t="s">
        <v>102</v>
      </c>
      <c r="H36">
        <f t="shared" si="5"/>
        <v>4.72</v>
      </c>
      <c r="I36">
        <f t="shared" si="6"/>
        <v>1.41</v>
      </c>
    </row>
    <row r="37" spans="1:9">
      <c r="A37" s="52" t="s">
        <v>63</v>
      </c>
      <c r="B37" s="16">
        <f t="shared" si="2"/>
        <v>358</v>
      </c>
      <c r="C37" s="39">
        <v>42407.74722222222</v>
      </c>
      <c r="D37" s="40">
        <v>2.1152777777777776</v>
      </c>
      <c r="E37" s="19">
        <v>2.38</v>
      </c>
      <c r="F37" s="19">
        <v>1.56</v>
      </c>
      <c r="G37" s="19" t="s">
        <v>102</v>
      </c>
      <c r="H37">
        <f t="shared" si="5"/>
        <v>2.38</v>
      </c>
      <c r="I37">
        <f t="shared" si="6"/>
        <v>1.56</v>
      </c>
    </row>
    <row r="38" spans="1:9">
      <c r="A38" s="52" t="s">
        <v>64</v>
      </c>
      <c r="B38" s="16">
        <f t="shared" si="2"/>
        <v>359</v>
      </c>
      <c r="C38" s="39">
        <v>42407.74722222222</v>
      </c>
      <c r="D38" s="40">
        <v>2.1152777777777776</v>
      </c>
      <c r="E38" s="19">
        <v>2.62</v>
      </c>
      <c r="F38" s="19">
        <v>1.68</v>
      </c>
      <c r="G38" s="19" t="s">
        <v>102</v>
      </c>
      <c r="H38">
        <f t="shared" si="5"/>
        <v>2.62</v>
      </c>
      <c r="I38">
        <f t="shared" si="6"/>
        <v>1.68</v>
      </c>
    </row>
    <row r="39" spans="1:9">
      <c r="A39" s="52" t="s">
        <v>65</v>
      </c>
      <c r="B39" s="16">
        <f t="shared" si="2"/>
        <v>360</v>
      </c>
      <c r="C39" s="39">
        <v>42407.763194444444</v>
      </c>
      <c r="D39" s="40">
        <v>2.1312500000000001</v>
      </c>
      <c r="E39" s="19">
        <v>2.89</v>
      </c>
      <c r="F39" s="19">
        <v>1.85</v>
      </c>
      <c r="G39" s="19" t="s">
        <v>102</v>
      </c>
      <c r="H39">
        <f t="shared" si="5"/>
        <v>2.89</v>
      </c>
      <c r="I39">
        <f t="shared" si="6"/>
        <v>1.85</v>
      </c>
    </row>
    <row r="40" spans="1:9">
      <c r="A40" s="52" t="s">
        <v>66</v>
      </c>
      <c r="B40" s="16">
        <f t="shared" si="2"/>
        <v>361</v>
      </c>
      <c r="C40" s="39">
        <v>42407.763194444444</v>
      </c>
      <c r="D40" s="40">
        <v>2.1312500000000001</v>
      </c>
      <c r="E40" s="19">
        <v>3.21</v>
      </c>
      <c r="F40" s="19">
        <v>1.6</v>
      </c>
      <c r="G40" s="19" t="s">
        <v>102</v>
      </c>
      <c r="H40">
        <f t="shared" si="5"/>
        <v>3.21</v>
      </c>
      <c r="I40">
        <f t="shared" si="6"/>
        <v>1.6</v>
      </c>
    </row>
    <row r="41" spans="1:9">
      <c r="A41" s="52" t="s">
        <v>67</v>
      </c>
      <c r="B41" s="16">
        <f t="shared" si="2"/>
        <v>362</v>
      </c>
      <c r="C41" s="39">
        <v>42407.763194444444</v>
      </c>
      <c r="D41" s="40">
        <v>2.1312500000000001</v>
      </c>
      <c r="E41" s="19">
        <v>2.72</v>
      </c>
      <c r="F41" s="19">
        <v>1.75</v>
      </c>
      <c r="G41" s="19" t="s">
        <v>102</v>
      </c>
      <c r="H41">
        <f t="shared" si="5"/>
        <v>2.72</v>
      </c>
      <c r="I41">
        <f t="shared" si="6"/>
        <v>1.75</v>
      </c>
    </row>
    <row r="42" spans="1:9">
      <c r="A42" s="52" t="s">
        <v>68</v>
      </c>
      <c r="B42" s="16">
        <f t="shared" si="2"/>
        <v>363</v>
      </c>
      <c r="C42" s="39">
        <v>42407.779166666667</v>
      </c>
      <c r="D42" s="40">
        <v>2.151388888888889</v>
      </c>
      <c r="E42" s="19">
        <v>3.04</v>
      </c>
      <c r="F42" s="19">
        <v>2.1</v>
      </c>
      <c r="G42" s="19" t="s">
        <v>102</v>
      </c>
      <c r="H42">
        <f t="shared" si="5"/>
        <v>3.04</v>
      </c>
      <c r="I42">
        <f t="shared" si="6"/>
        <v>2.1</v>
      </c>
    </row>
    <row r="43" spans="1:9">
      <c r="A43" t="s">
        <v>69</v>
      </c>
      <c r="B43" s="16"/>
      <c r="C43" s="39"/>
      <c r="D43" s="40"/>
      <c r="E43" s="19"/>
      <c r="F43" s="19"/>
      <c r="G43" s="19"/>
      <c r="H43"/>
    </row>
    <row r="44" spans="1:9">
      <c r="A44" t="s">
        <v>70</v>
      </c>
      <c r="B44" s="16"/>
      <c r="C44" s="39"/>
      <c r="D44" s="40"/>
      <c r="E44" s="19"/>
      <c r="F44" s="19"/>
      <c r="G44" s="19"/>
      <c r="H44"/>
    </row>
    <row r="45" spans="1:9">
      <c r="A45" s="53" t="s">
        <v>53</v>
      </c>
      <c r="B45" s="16">
        <v>364</v>
      </c>
      <c r="C45" s="39">
        <v>42408.700694444444</v>
      </c>
      <c r="D45" s="40">
        <v>3.0729166666666665</v>
      </c>
      <c r="E45" s="19">
        <v>2.19</v>
      </c>
      <c r="F45" s="19">
        <v>1.27</v>
      </c>
      <c r="G45" s="19" t="s">
        <v>102</v>
      </c>
      <c r="H45">
        <f>E45-IF(G45="h",$M$9,IF(G45="m",$M$10,IF(G45="l",$M$11,-99)))</f>
        <v>2.19</v>
      </c>
      <c r="I45">
        <f>F45-IF(G45="h",$M$9,IF(G45="m",$M$10,IF(G45="l",$M$11,-99)))</f>
        <v>1.27</v>
      </c>
    </row>
    <row r="46" spans="1:9">
      <c r="A46" s="53" t="s">
        <v>54</v>
      </c>
      <c r="B46" s="16">
        <f t="shared" si="2"/>
        <v>365</v>
      </c>
      <c r="C46" s="39">
        <v>42408.700694444444</v>
      </c>
      <c r="D46" s="40">
        <v>3.0729166666666665</v>
      </c>
      <c r="E46" s="19">
        <v>2.4300000000000002</v>
      </c>
      <c r="F46" s="19">
        <v>1.44</v>
      </c>
      <c r="G46" s="19" t="s">
        <v>102</v>
      </c>
      <c r="H46">
        <f t="shared" ref="H46:H60" si="7">E46-IF(G46="h",$M$9,IF(G46="m",$M$10,IF(G46="l",$M$11,-99)))</f>
        <v>2.4300000000000002</v>
      </c>
      <c r="I46">
        <f t="shared" ref="I46:I60" si="8">F46-IF(G46="h",$M$9,IF(G46="m",$M$10,IF(G46="l",$M$11,-99)))</f>
        <v>1.44</v>
      </c>
    </row>
    <row r="47" spans="1:9">
      <c r="A47" s="53" t="s">
        <v>55</v>
      </c>
      <c r="B47" s="16">
        <f t="shared" si="2"/>
        <v>366</v>
      </c>
      <c r="C47" s="39">
        <v>42408.700694444444</v>
      </c>
      <c r="D47" s="40">
        <v>3.0729166666666665</v>
      </c>
      <c r="E47" s="19">
        <v>2.73</v>
      </c>
      <c r="F47" s="19">
        <v>1.58</v>
      </c>
      <c r="G47" s="19" t="s">
        <v>102</v>
      </c>
      <c r="H47">
        <f t="shared" si="7"/>
        <v>2.73</v>
      </c>
      <c r="I47">
        <f t="shared" si="8"/>
        <v>1.58</v>
      </c>
    </row>
    <row r="48" spans="1:9">
      <c r="A48" s="53" t="s">
        <v>56</v>
      </c>
      <c r="B48" s="16">
        <f t="shared" si="2"/>
        <v>367</v>
      </c>
      <c r="C48" s="39">
        <v>42408.720833333333</v>
      </c>
      <c r="D48" s="40">
        <v>3.0513888888888889</v>
      </c>
      <c r="E48" s="19">
        <v>6.32</v>
      </c>
      <c r="F48" s="19">
        <v>3.49</v>
      </c>
      <c r="G48" s="19" t="s">
        <v>105</v>
      </c>
      <c r="H48">
        <f t="shared" si="7"/>
        <v>6.32</v>
      </c>
      <c r="I48">
        <f t="shared" si="8"/>
        <v>3.49</v>
      </c>
    </row>
    <row r="49" spans="1:9">
      <c r="A49" s="53" t="s">
        <v>57</v>
      </c>
      <c r="B49" s="16">
        <f t="shared" si="2"/>
        <v>368</v>
      </c>
      <c r="C49" s="39">
        <v>42408.720833333333</v>
      </c>
      <c r="D49" s="40">
        <v>3.0513888888888889</v>
      </c>
      <c r="E49" s="19">
        <v>8.0399999999999991</v>
      </c>
      <c r="F49" s="19">
        <v>4.53</v>
      </c>
      <c r="G49" s="19" t="s">
        <v>105</v>
      </c>
      <c r="H49">
        <f t="shared" si="7"/>
        <v>8.0399999999999991</v>
      </c>
      <c r="I49">
        <f t="shared" si="8"/>
        <v>4.53</v>
      </c>
    </row>
    <row r="50" spans="1:9">
      <c r="A50" s="53" t="s">
        <v>58</v>
      </c>
      <c r="B50" s="16">
        <f t="shared" si="2"/>
        <v>369</v>
      </c>
      <c r="C50" s="39">
        <v>42408.720833333333</v>
      </c>
      <c r="D50" s="40">
        <v>3.0513888888888889</v>
      </c>
      <c r="E50" s="19">
        <v>7.28</v>
      </c>
      <c r="F50" s="19">
        <v>3.97</v>
      </c>
      <c r="G50" s="19" t="s">
        <v>105</v>
      </c>
      <c r="H50">
        <f t="shared" si="7"/>
        <v>7.28</v>
      </c>
      <c r="I50">
        <f t="shared" si="8"/>
        <v>3.97</v>
      </c>
    </row>
    <row r="51" spans="1:9">
      <c r="A51" s="53" t="s">
        <v>59</v>
      </c>
      <c r="B51" s="16">
        <f t="shared" si="2"/>
        <v>370</v>
      </c>
      <c r="C51" s="39">
        <v>42408.731944444444</v>
      </c>
      <c r="D51" s="40">
        <v>3.0625</v>
      </c>
      <c r="E51" s="19">
        <v>3.68</v>
      </c>
      <c r="F51" s="19">
        <v>1.9</v>
      </c>
      <c r="G51" s="19" t="s">
        <v>105</v>
      </c>
      <c r="H51">
        <f t="shared" si="7"/>
        <v>3.68</v>
      </c>
      <c r="I51">
        <f t="shared" si="8"/>
        <v>1.9</v>
      </c>
    </row>
    <row r="52" spans="1:9">
      <c r="A52" s="53" t="s">
        <v>60</v>
      </c>
      <c r="B52" s="16">
        <f t="shared" si="2"/>
        <v>371</v>
      </c>
      <c r="C52" s="39">
        <v>42408.731944444444</v>
      </c>
      <c r="D52" s="40">
        <v>3.0625</v>
      </c>
      <c r="E52" s="19">
        <v>3.95</v>
      </c>
      <c r="F52" s="19">
        <v>2.04</v>
      </c>
      <c r="G52" s="19" t="s">
        <v>105</v>
      </c>
      <c r="H52">
        <f t="shared" si="7"/>
        <v>3.95</v>
      </c>
      <c r="I52">
        <f t="shared" si="8"/>
        <v>2.04</v>
      </c>
    </row>
    <row r="53" spans="1:9">
      <c r="A53" s="53" t="s">
        <v>61</v>
      </c>
      <c r="B53" s="16">
        <f t="shared" si="2"/>
        <v>372</v>
      </c>
      <c r="C53" s="39">
        <v>42408.731944444444</v>
      </c>
      <c r="D53" s="40">
        <v>3.0625</v>
      </c>
      <c r="E53" s="19">
        <v>3.87</v>
      </c>
      <c r="F53" s="19">
        <v>2.02</v>
      </c>
      <c r="G53" s="19" t="s">
        <v>105</v>
      </c>
      <c r="H53">
        <f t="shared" si="7"/>
        <v>3.87</v>
      </c>
      <c r="I53">
        <f t="shared" si="8"/>
        <v>2.02</v>
      </c>
    </row>
    <row r="54" spans="1:9">
      <c r="A54" s="53" t="s">
        <v>62</v>
      </c>
      <c r="B54" s="16">
        <f t="shared" si="2"/>
        <v>373</v>
      </c>
      <c r="C54" s="39">
        <v>42408.748611111114</v>
      </c>
      <c r="D54" s="40">
        <v>3.0791666666666671</v>
      </c>
      <c r="E54" s="19">
        <v>2.5499999999999998</v>
      </c>
      <c r="F54" s="19">
        <v>1.47</v>
      </c>
      <c r="G54" s="19" t="s">
        <v>102</v>
      </c>
      <c r="H54">
        <f t="shared" si="7"/>
        <v>2.5499999999999998</v>
      </c>
      <c r="I54">
        <f t="shared" si="8"/>
        <v>1.47</v>
      </c>
    </row>
    <row r="55" spans="1:9">
      <c r="A55" s="53" t="s">
        <v>63</v>
      </c>
      <c r="B55" s="16">
        <f t="shared" si="2"/>
        <v>374</v>
      </c>
      <c r="C55" s="39">
        <v>42408.748611111114</v>
      </c>
      <c r="D55" s="40">
        <v>3.0791666666666671</v>
      </c>
      <c r="E55" s="19">
        <v>2</v>
      </c>
      <c r="F55" s="19">
        <v>1.1399999999999999</v>
      </c>
      <c r="G55" s="19" t="s">
        <v>102</v>
      </c>
      <c r="H55">
        <f t="shared" si="7"/>
        <v>2</v>
      </c>
      <c r="I55">
        <f t="shared" si="8"/>
        <v>1.1399999999999999</v>
      </c>
    </row>
    <row r="56" spans="1:9">
      <c r="A56" s="53" t="s">
        <v>64</v>
      </c>
      <c r="B56" s="16">
        <f t="shared" si="2"/>
        <v>375</v>
      </c>
      <c r="C56" s="39">
        <v>42408.748611111114</v>
      </c>
      <c r="D56" s="40">
        <v>3.0791666666666671</v>
      </c>
      <c r="E56" s="19">
        <v>2.33</v>
      </c>
      <c r="F56" s="19">
        <v>1.36</v>
      </c>
      <c r="G56" s="19" t="s">
        <v>102</v>
      </c>
      <c r="H56">
        <f t="shared" si="7"/>
        <v>2.33</v>
      </c>
      <c r="I56">
        <f t="shared" si="8"/>
        <v>1.36</v>
      </c>
    </row>
    <row r="57" spans="1:9">
      <c r="A57" s="53" t="s">
        <v>65</v>
      </c>
      <c r="B57" s="16">
        <f t="shared" si="2"/>
        <v>376</v>
      </c>
      <c r="C57" s="39">
        <v>42408.765277777777</v>
      </c>
      <c r="D57" s="40">
        <v>3.0958333333333332</v>
      </c>
      <c r="E57" s="19">
        <v>2.56</v>
      </c>
      <c r="F57" s="19">
        <v>1.5</v>
      </c>
      <c r="G57" s="19" t="s">
        <v>102</v>
      </c>
      <c r="H57">
        <f t="shared" si="7"/>
        <v>2.56</v>
      </c>
      <c r="I57">
        <f t="shared" si="8"/>
        <v>1.5</v>
      </c>
    </row>
    <row r="58" spans="1:9">
      <c r="A58" s="53" t="s">
        <v>66</v>
      </c>
      <c r="B58" s="16">
        <f t="shared" si="2"/>
        <v>377</v>
      </c>
      <c r="C58" s="39">
        <v>42408.765277777777</v>
      </c>
      <c r="D58" s="40">
        <v>3.0958333333333332</v>
      </c>
      <c r="E58" s="19">
        <v>2.15</v>
      </c>
      <c r="F58" s="19">
        <v>1.24</v>
      </c>
      <c r="G58" s="19" t="s">
        <v>102</v>
      </c>
      <c r="H58">
        <f t="shared" si="7"/>
        <v>2.15</v>
      </c>
      <c r="I58">
        <f t="shared" si="8"/>
        <v>1.24</v>
      </c>
    </row>
    <row r="59" spans="1:9">
      <c r="A59" s="53" t="s">
        <v>67</v>
      </c>
      <c r="B59" s="16">
        <f t="shared" si="2"/>
        <v>378</v>
      </c>
      <c r="C59" s="39">
        <v>42408.765277777777</v>
      </c>
      <c r="D59" s="40">
        <v>3.0958333333333332</v>
      </c>
      <c r="E59" s="19">
        <v>2.16</v>
      </c>
      <c r="F59" s="19">
        <v>1.24</v>
      </c>
      <c r="G59" s="19" t="s">
        <v>102</v>
      </c>
      <c r="H59">
        <f t="shared" si="7"/>
        <v>2.16</v>
      </c>
      <c r="I59">
        <f t="shared" si="8"/>
        <v>1.24</v>
      </c>
    </row>
    <row r="60" spans="1:9">
      <c r="A60" s="53" t="s">
        <v>68</v>
      </c>
      <c r="B60" s="16">
        <f t="shared" si="2"/>
        <v>379</v>
      </c>
      <c r="C60" s="39">
        <v>42408.78125</v>
      </c>
      <c r="D60" s="40">
        <v>3.1118055555555557</v>
      </c>
      <c r="E60" s="19">
        <v>3.09</v>
      </c>
      <c r="F60" s="19">
        <v>1.78</v>
      </c>
      <c r="G60" s="19" t="s">
        <v>102</v>
      </c>
      <c r="H60">
        <f t="shared" si="7"/>
        <v>3.09</v>
      </c>
      <c r="I60">
        <f t="shared" si="8"/>
        <v>1.78</v>
      </c>
    </row>
    <row r="61" spans="1:9">
      <c r="A61" t="s">
        <v>69</v>
      </c>
      <c r="B61" s="16"/>
      <c r="C61" s="39"/>
      <c r="D61" s="40"/>
      <c r="E61" s="19"/>
      <c r="F61" s="19"/>
      <c r="G61" s="19"/>
      <c r="H61"/>
    </row>
    <row r="62" spans="1:9">
      <c r="A62" t="s">
        <v>70</v>
      </c>
      <c r="B62" s="16"/>
      <c r="C62" s="39"/>
      <c r="D62" s="40"/>
      <c r="E62" s="19"/>
      <c r="F62" s="19"/>
      <c r="G62" s="19"/>
      <c r="H62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61"/>
  <sheetViews>
    <sheetView workbookViewId="0">
      <selection activeCell="U38" sqref="U38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15" customWidth="1"/>
    <col min="5" max="5" width="8.7265625" customWidth="1"/>
    <col min="6" max="6" width="9.81640625" customWidth="1"/>
    <col min="7" max="7" width="6.54296875" style="2" customWidth="1"/>
    <col min="8" max="8" width="6.54296875" style="13" customWidth="1"/>
    <col min="9" max="9" width="8" customWidth="1"/>
    <col min="10" max="10" width="10.54296875" customWidth="1"/>
    <col min="11" max="11" width="9.7265625" customWidth="1"/>
    <col min="12" max="12" width="9.26953125" customWidth="1"/>
    <col min="13" max="13" width="8.1796875" customWidth="1"/>
    <col min="14" max="14" width="9.26953125" customWidth="1"/>
    <col min="15" max="15" width="9" customWidth="1"/>
    <col min="16" max="16" width="8.54296875" customWidth="1"/>
    <col min="17" max="17" width="11.453125" customWidth="1"/>
    <col min="18" max="18" width="9.453125" customWidth="1"/>
    <col min="19" max="19" width="10" customWidth="1"/>
    <col min="20" max="20" width="12.54296875" customWidth="1"/>
  </cols>
  <sheetData>
    <row r="1" spans="1:21" s="10" customFormat="1" ht="30" customHeight="1">
      <c r="A1" s="3" t="s">
        <v>0</v>
      </c>
      <c r="B1" s="3" t="s">
        <v>1</v>
      </c>
      <c r="C1" s="3" t="s">
        <v>2</v>
      </c>
      <c r="D1" s="14" t="s">
        <v>73</v>
      </c>
      <c r="E1" s="3" t="s">
        <v>3</v>
      </c>
      <c r="F1" s="3" t="s">
        <v>4</v>
      </c>
      <c r="G1" s="4" t="s">
        <v>5</v>
      </c>
      <c r="H1" s="5" t="s">
        <v>6</v>
      </c>
      <c r="I1" s="6" t="s">
        <v>7</v>
      </c>
      <c r="J1" s="3" t="s">
        <v>19</v>
      </c>
      <c r="K1" s="7" t="s">
        <v>8</v>
      </c>
      <c r="L1" s="7" t="s">
        <v>9</v>
      </c>
      <c r="M1" s="7" t="s">
        <v>10</v>
      </c>
      <c r="N1" s="7" t="s">
        <v>11</v>
      </c>
      <c r="O1" s="8" t="s">
        <v>12</v>
      </c>
      <c r="P1" s="8" t="s">
        <v>13</v>
      </c>
      <c r="Q1" s="8" t="s">
        <v>14</v>
      </c>
      <c r="R1" s="9" t="s">
        <v>15</v>
      </c>
      <c r="S1" s="9" t="s">
        <v>16</v>
      </c>
      <c r="T1" s="9" t="s">
        <v>17</v>
      </c>
      <c r="U1" s="10" t="s">
        <v>49</v>
      </c>
    </row>
    <row r="2" spans="1:21" s="12" customFormat="1" ht="13" customHeight="1">
      <c r="A2">
        <f>Entry!B3</f>
        <v>247</v>
      </c>
      <c r="B2" s="11" t="s">
        <v>18</v>
      </c>
      <c r="C2" s="18">
        <f>Entry!C3</f>
        <v>42404.798611111109</v>
      </c>
      <c r="D2" s="41">
        <f>Entry!D3</f>
        <v>0</v>
      </c>
      <c r="E2" s="42">
        <v>100</v>
      </c>
      <c r="F2" s="43">
        <v>10</v>
      </c>
      <c r="G2" s="34">
        <f>Entry!H3</f>
        <v>1.4750000000000001</v>
      </c>
      <c r="H2" s="34">
        <f>Entry!I3</f>
        <v>0.95599999999999996</v>
      </c>
      <c r="I2" s="42">
        <v>1</v>
      </c>
      <c r="J2" s="49">
        <f>Entry!$J$3</f>
        <v>1.9438</v>
      </c>
      <c r="K2" s="34">
        <f t="shared" ref="K2:K59" si="0">G2*(F2/E2)*I2</f>
        <v>0.14750000000000002</v>
      </c>
      <c r="L2" s="34">
        <f t="shared" ref="L2:L59" si="1">G2/H2</f>
        <v>1.5428870292887031</v>
      </c>
      <c r="M2" s="34"/>
      <c r="N2" s="35"/>
      <c r="O2" s="35">
        <f t="shared" ref="O2:O59" si="2">(G2-H2)*J2*(F2/E2)*I2</f>
        <v>0.10088322000000004</v>
      </c>
      <c r="P2" s="35">
        <f t="shared" ref="P2:P59" si="3">J2*(1.84*H2-G2)*(F2/E2)*I2</f>
        <v>5.5211695199999966E-2</v>
      </c>
      <c r="Q2" s="36">
        <f t="shared" ref="Q2:Q59" si="4">O2+P2</f>
        <v>0.15609491520000002</v>
      </c>
    </row>
    <row r="3" spans="1:21">
      <c r="A3">
        <f>Entry!B4</f>
        <v>248</v>
      </c>
      <c r="B3" s="1" t="s">
        <v>18</v>
      </c>
      <c r="C3" s="18">
        <f>Entry!C4</f>
        <v>42404.798611111109</v>
      </c>
      <c r="D3" s="41">
        <f>Entry!D4</f>
        <v>0</v>
      </c>
      <c r="E3" s="33">
        <v>100</v>
      </c>
      <c r="F3" s="33">
        <v>10</v>
      </c>
      <c r="G3" s="34">
        <f>Entry!H4</f>
        <v>1.4550000000000001</v>
      </c>
      <c r="H3" s="34">
        <f>Entry!I4</f>
        <v>0.89500000000000002</v>
      </c>
      <c r="I3" s="44">
        <v>1</v>
      </c>
      <c r="J3" s="49">
        <f>Entry!$J$3</f>
        <v>1.9438</v>
      </c>
      <c r="K3" s="37">
        <f t="shared" si="0"/>
        <v>0.14550000000000002</v>
      </c>
      <c r="L3" s="37">
        <f t="shared" si="1"/>
        <v>1.6256983240223464</v>
      </c>
      <c r="M3" s="37"/>
      <c r="N3" s="37"/>
      <c r="O3" s="37">
        <f t="shared" si="2"/>
        <v>0.10885280000000003</v>
      </c>
      <c r="P3" s="37">
        <f t="shared" si="3"/>
        <v>3.7282083999999993E-2</v>
      </c>
      <c r="Q3" s="37">
        <f t="shared" si="4"/>
        <v>0.14613488400000002</v>
      </c>
      <c r="R3" s="37"/>
      <c r="S3" s="38"/>
    </row>
    <row r="4" spans="1:21">
      <c r="A4">
        <f>Entry!B5</f>
        <v>249</v>
      </c>
      <c r="B4" s="1" t="s">
        <v>18</v>
      </c>
      <c r="C4" s="18">
        <f>Entry!C5</f>
        <v>42404.798611111109</v>
      </c>
      <c r="D4" s="41">
        <f>Entry!D5</f>
        <v>0</v>
      </c>
      <c r="E4" s="33">
        <v>100</v>
      </c>
      <c r="F4" s="33">
        <v>10</v>
      </c>
      <c r="G4" s="34">
        <f>Entry!H5</f>
        <v>0.42299999999999999</v>
      </c>
      <c r="H4" s="34">
        <f>Entry!I5</f>
        <v>0.30099999999999999</v>
      </c>
      <c r="I4" s="44">
        <v>1</v>
      </c>
      <c r="J4" s="49">
        <f>Entry!$J$3</f>
        <v>1.9438</v>
      </c>
      <c r="K4" s="37">
        <f t="shared" si="0"/>
        <v>4.2300000000000004E-2</v>
      </c>
      <c r="L4" s="37">
        <f t="shared" si="1"/>
        <v>1.4053156146179402</v>
      </c>
      <c r="M4" s="37">
        <f>(K2+K3+K4)/3</f>
        <v>0.11176666666666668</v>
      </c>
      <c r="N4" s="37">
        <f>(L2+L3+L4)/3</f>
        <v>1.5246336559763298</v>
      </c>
      <c r="O4" s="37">
        <f t="shared" si="2"/>
        <v>2.371436E-2</v>
      </c>
      <c r="P4" s="37">
        <f t="shared" si="3"/>
        <v>2.5432679200000002E-2</v>
      </c>
      <c r="Q4" s="37">
        <f t="shared" si="4"/>
        <v>4.9147039200000006E-2</v>
      </c>
      <c r="R4" s="37">
        <f>(O2+O3+O4)/3</f>
        <v>7.7816793333333356E-2</v>
      </c>
      <c r="S4" s="38">
        <f>(P2+P3+P4)/3</f>
        <v>3.9308819466666652E-2</v>
      </c>
      <c r="T4">
        <f>(Q2+Q3+Q4)/3</f>
        <v>0.11712561280000001</v>
      </c>
      <c r="U4">
        <f>STDEV(O2:O4)</f>
        <v>4.7023223207101963E-2</v>
      </c>
    </row>
    <row r="5" spans="1:21">
      <c r="A5">
        <f>Entry!B6</f>
        <v>250</v>
      </c>
      <c r="B5" s="1" t="s">
        <v>18</v>
      </c>
      <c r="C5" s="18">
        <f>Entry!C6</f>
        <v>42404.798611111109</v>
      </c>
      <c r="D5" s="41">
        <f>Entry!D6</f>
        <v>0</v>
      </c>
      <c r="E5" s="33">
        <v>100</v>
      </c>
      <c r="F5" s="33">
        <v>10</v>
      </c>
      <c r="G5" s="34">
        <f>Entry!H6</f>
        <v>1.4750000000000001</v>
      </c>
      <c r="H5" s="34">
        <f>Entry!I6</f>
        <v>0.93</v>
      </c>
      <c r="I5" s="44">
        <v>1</v>
      </c>
      <c r="J5" s="49">
        <f>Entry!$J$3</f>
        <v>1.9438</v>
      </c>
      <c r="K5" s="37">
        <f t="shared" si="0"/>
        <v>0.14750000000000002</v>
      </c>
      <c r="L5" s="37">
        <f t="shared" si="1"/>
        <v>1.586021505376344</v>
      </c>
      <c r="M5" s="37"/>
      <c r="N5" s="37"/>
      <c r="O5" s="37">
        <f t="shared" si="2"/>
        <v>0.10593710000000001</v>
      </c>
      <c r="P5" s="37">
        <f t="shared" si="3"/>
        <v>4.5912555999999993E-2</v>
      </c>
      <c r="Q5" s="37">
        <f t="shared" si="4"/>
        <v>0.151849656</v>
      </c>
      <c r="R5" s="37"/>
      <c r="S5" s="38"/>
    </row>
    <row r="6" spans="1:21">
      <c r="A6">
        <f>Entry!B7</f>
        <v>251</v>
      </c>
      <c r="B6" s="1" t="s">
        <v>18</v>
      </c>
      <c r="C6" s="18">
        <f>Entry!C7</f>
        <v>42404.798611111109</v>
      </c>
      <c r="D6" s="41">
        <f>Entry!D7</f>
        <v>0</v>
      </c>
      <c r="E6" s="33">
        <v>100</v>
      </c>
      <c r="F6" s="33">
        <v>10</v>
      </c>
      <c r="G6" s="34">
        <f>Entry!H7</f>
        <v>1.2650000000000001</v>
      </c>
      <c r="H6" s="34">
        <f>Entry!I7</f>
        <v>0.79100000000000004</v>
      </c>
      <c r="I6" s="44">
        <v>1</v>
      </c>
      <c r="J6" s="49">
        <f>Entry!$J$3</f>
        <v>1.9438</v>
      </c>
      <c r="K6" s="37">
        <f t="shared" si="0"/>
        <v>0.12650000000000003</v>
      </c>
      <c r="L6" s="37">
        <f t="shared" si="1"/>
        <v>1.5992414664981038</v>
      </c>
      <c r="M6" s="37"/>
      <c r="N6" s="37"/>
      <c r="O6" s="37">
        <f t="shared" si="2"/>
        <v>9.2136120000000016E-2</v>
      </c>
      <c r="P6" s="37">
        <f t="shared" si="3"/>
        <v>3.7017727199999989E-2</v>
      </c>
      <c r="Q6" s="37">
        <f t="shared" si="4"/>
        <v>0.1291538472</v>
      </c>
      <c r="R6" s="37"/>
      <c r="S6" s="38"/>
    </row>
    <row r="7" spans="1:21">
      <c r="A7">
        <f>Entry!B8</f>
        <v>252</v>
      </c>
      <c r="B7" s="1" t="s">
        <v>18</v>
      </c>
      <c r="C7" s="18">
        <f>Entry!C8</f>
        <v>42404.798611111109</v>
      </c>
      <c r="D7" s="41">
        <f>Entry!D8</f>
        <v>0</v>
      </c>
      <c r="E7" s="33">
        <v>100</v>
      </c>
      <c r="F7" s="33">
        <v>10</v>
      </c>
      <c r="G7" s="34">
        <f>Entry!H8</f>
        <v>1.3150000000000002</v>
      </c>
      <c r="H7" s="34">
        <f>Entry!I8</f>
        <v>0.80100000000000005</v>
      </c>
      <c r="I7" s="44">
        <v>1</v>
      </c>
      <c r="J7" s="49">
        <f>Entry!$J$3</f>
        <v>1.9438</v>
      </c>
      <c r="K7" s="37">
        <f t="shared" si="0"/>
        <v>0.13150000000000003</v>
      </c>
      <c r="L7" s="37">
        <f t="shared" si="1"/>
        <v>1.6416978776529338</v>
      </c>
      <c r="M7" s="37">
        <f t="shared" ref="M7:M59" si="5">(K5+K6+K7)/3</f>
        <v>0.13516666666666668</v>
      </c>
      <c r="N7" s="37">
        <f t="shared" ref="N7:N59" si="6">(L5+L6+L7)/3</f>
        <v>1.6089869498424605</v>
      </c>
      <c r="O7" s="37">
        <f t="shared" si="2"/>
        <v>9.9911320000000026E-2</v>
      </c>
      <c r="P7" s="37">
        <f t="shared" si="3"/>
        <v>3.0875319199999973E-2</v>
      </c>
      <c r="Q7" s="37">
        <f t="shared" si="4"/>
        <v>0.1307866392</v>
      </c>
      <c r="R7" s="37">
        <f t="shared" ref="R7:R59" si="7">(O5+O6+O7)/3</f>
        <v>9.932818000000003E-2</v>
      </c>
      <c r="S7" s="38">
        <f t="shared" ref="S7:S59" si="8">(P5+P6+P7)/3</f>
        <v>3.7935200799999985E-2</v>
      </c>
      <c r="T7">
        <f t="shared" ref="T7:T59" si="9">(Q5+Q6+Q7)/3</f>
        <v>0.1372633808</v>
      </c>
      <c r="U7">
        <f t="shared" ref="U7:U59" si="10">STDEV(O5:O7)</f>
        <v>6.9189451099716023E-3</v>
      </c>
    </row>
    <row r="8" spans="1:21">
      <c r="A8">
        <f>Entry!B9</f>
        <v>270</v>
      </c>
      <c r="B8" s="1" t="s">
        <v>18</v>
      </c>
      <c r="C8" s="18">
        <f>Entry!C9</f>
        <v>42405.69027777778</v>
      </c>
      <c r="D8" s="41">
        <f>Entry!D9</f>
        <v>0.89166666666666661</v>
      </c>
      <c r="E8" s="33">
        <v>100</v>
      </c>
      <c r="F8" s="33">
        <v>10</v>
      </c>
      <c r="G8" s="34">
        <f>Entry!H9</f>
        <v>1.97</v>
      </c>
      <c r="H8" s="34">
        <f>Entry!I9</f>
        <v>1.07</v>
      </c>
      <c r="I8" s="44">
        <v>1</v>
      </c>
      <c r="J8" s="49">
        <f>Entry!$J$3</f>
        <v>1.9438</v>
      </c>
      <c r="K8" s="37">
        <f t="shared" si="0"/>
        <v>0.19700000000000001</v>
      </c>
      <c r="L8" s="37">
        <f t="shared" si="1"/>
        <v>1.8411214953271027</v>
      </c>
      <c r="M8" s="37"/>
      <c r="N8" s="37"/>
      <c r="O8" s="37">
        <f t="shared" si="2"/>
        <v>0.17494199999999999</v>
      </c>
      <c r="P8" s="37">
        <f t="shared" si="3"/>
        <v>-2.3325599999997435E-4</v>
      </c>
      <c r="Q8" s="37">
        <f t="shared" si="4"/>
        <v>0.174708744</v>
      </c>
      <c r="R8" s="37"/>
      <c r="S8" s="38"/>
    </row>
    <row r="9" spans="1:21">
      <c r="A9">
        <f>Entry!B10</f>
        <v>271</v>
      </c>
      <c r="B9" s="1" t="s">
        <v>18</v>
      </c>
      <c r="C9" s="18">
        <f>Entry!C10</f>
        <v>42405.69027777778</v>
      </c>
      <c r="D9" s="41">
        <f>Entry!D10</f>
        <v>0.89166666666666661</v>
      </c>
      <c r="E9" s="33">
        <v>100</v>
      </c>
      <c r="F9" s="33">
        <v>10</v>
      </c>
      <c r="G9" s="34">
        <f>Entry!H10</f>
        <v>1.93</v>
      </c>
      <c r="H9" s="34">
        <f>Entry!I10</f>
        <v>1.1499999999999999</v>
      </c>
      <c r="I9" s="44">
        <v>1</v>
      </c>
      <c r="J9" s="49">
        <f>Entry!$J$3</f>
        <v>1.9438</v>
      </c>
      <c r="K9" s="37">
        <f t="shared" si="0"/>
        <v>0.193</v>
      </c>
      <c r="L9" s="37">
        <f t="shared" si="1"/>
        <v>1.6782608695652175</v>
      </c>
      <c r="M9" s="37"/>
      <c r="N9" s="37"/>
      <c r="O9" s="37">
        <f t="shared" si="2"/>
        <v>0.15161640000000001</v>
      </c>
      <c r="P9" s="37">
        <f t="shared" si="3"/>
        <v>3.6154680000000036E-2</v>
      </c>
      <c r="Q9" s="37">
        <f t="shared" si="4"/>
        <v>0.18777108000000003</v>
      </c>
      <c r="R9" s="37"/>
      <c r="S9" s="38"/>
    </row>
    <row r="10" spans="1:21">
      <c r="A10">
        <f>Entry!B11</f>
        <v>272</v>
      </c>
      <c r="B10" s="1" t="s">
        <v>18</v>
      </c>
      <c r="C10" s="18">
        <f>Entry!C11</f>
        <v>42405.69027777778</v>
      </c>
      <c r="D10" s="41">
        <f>Entry!D11</f>
        <v>0.89166666666666661</v>
      </c>
      <c r="E10" s="33">
        <v>100</v>
      </c>
      <c r="F10" s="33">
        <v>10</v>
      </c>
      <c r="G10" s="34">
        <f>Entry!H11</f>
        <v>1.96</v>
      </c>
      <c r="H10" s="34">
        <f>Entry!I11</f>
        <v>1.1499999999999999</v>
      </c>
      <c r="I10" s="44">
        <v>1</v>
      </c>
      <c r="J10" s="49">
        <f>Entry!$J$3</f>
        <v>1.9438</v>
      </c>
      <c r="K10" s="37">
        <f t="shared" si="0"/>
        <v>0.19600000000000001</v>
      </c>
      <c r="L10" s="37">
        <f t="shared" si="1"/>
        <v>1.7043478260869567</v>
      </c>
      <c r="M10" s="37">
        <f t="shared" si="5"/>
        <v>0.19533333333333336</v>
      </c>
      <c r="N10" s="37">
        <f t="shared" si="6"/>
        <v>1.7412433969930923</v>
      </c>
      <c r="O10" s="37">
        <f t="shared" si="2"/>
        <v>0.15744780000000003</v>
      </c>
      <c r="P10" s="37">
        <f t="shared" si="3"/>
        <v>3.0323280000000025E-2</v>
      </c>
      <c r="Q10" s="37">
        <f t="shared" si="4"/>
        <v>0.18777108000000006</v>
      </c>
      <c r="R10" s="37">
        <f t="shared" si="7"/>
        <v>0.16133540000000002</v>
      </c>
      <c r="S10" s="38">
        <f t="shared" si="8"/>
        <v>2.2081568000000027E-2</v>
      </c>
      <c r="T10">
        <f t="shared" si="9"/>
        <v>0.18341696800000004</v>
      </c>
      <c r="U10">
        <f t="shared" si="10"/>
        <v>1.213902710928679E-2</v>
      </c>
    </row>
    <row r="11" spans="1:21">
      <c r="A11">
        <f>Entry!B12</f>
        <v>273</v>
      </c>
      <c r="B11" s="1" t="s">
        <v>18</v>
      </c>
      <c r="C11" s="18">
        <f>Entry!C12</f>
        <v>42405.710416666669</v>
      </c>
      <c r="D11" s="41">
        <f>Entry!D12</f>
        <v>0.91180555555555554</v>
      </c>
      <c r="E11" s="33">
        <v>100</v>
      </c>
      <c r="F11" s="33">
        <v>10</v>
      </c>
      <c r="G11" s="34">
        <f>Entry!H12</f>
        <v>2.89</v>
      </c>
      <c r="H11" s="34">
        <f>Entry!I12</f>
        <v>1.69</v>
      </c>
      <c r="I11" s="44">
        <v>1</v>
      </c>
      <c r="J11" s="49">
        <f>Entry!$J$3</f>
        <v>1.9438</v>
      </c>
      <c r="K11" s="37">
        <f t="shared" si="0"/>
        <v>0.28900000000000003</v>
      </c>
      <c r="L11" s="37">
        <f t="shared" si="1"/>
        <v>1.7100591715976332</v>
      </c>
      <c r="M11" s="37"/>
      <c r="N11" s="37"/>
      <c r="O11" s="37">
        <f t="shared" si="2"/>
        <v>0.23325600000000005</v>
      </c>
      <c r="P11" s="37">
        <f t="shared" si="3"/>
        <v>4.2685847999999964E-2</v>
      </c>
      <c r="Q11" s="37">
        <f t="shared" si="4"/>
        <v>0.27594184799999999</v>
      </c>
      <c r="R11" s="37"/>
      <c r="S11" s="38"/>
    </row>
    <row r="12" spans="1:21">
      <c r="A12">
        <f>Entry!B13</f>
        <v>274</v>
      </c>
      <c r="B12" s="1" t="s">
        <v>18</v>
      </c>
      <c r="C12" s="18">
        <f>Entry!C13</f>
        <v>42405.710416666669</v>
      </c>
      <c r="D12" s="41">
        <f>Entry!D13</f>
        <v>0.91180555555555554</v>
      </c>
      <c r="E12" s="33">
        <v>100</v>
      </c>
      <c r="F12" s="33">
        <v>10</v>
      </c>
      <c r="G12" s="34">
        <f>Entry!H13</f>
        <v>3.62</v>
      </c>
      <c r="H12" s="34">
        <f>Entry!I13</f>
        <v>2.08</v>
      </c>
      <c r="I12" s="44">
        <v>1</v>
      </c>
      <c r="J12" s="49">
        <f>Entry!$J$3</f>
        <v>1.9438</v>
      </c>
      <c r="K12" s="37">
        <f t="shared" si="0"/>
        <v>0.36200000000000004</v>
      </c>
      <c r="L12" s="37">
        <f t="shared" si="1"/>
        <v>1.7403846153846154</v>
      </c>
      <c r="M12" s="37"/>
      <c r="N12" s="37"/>
      <c r="O12" s="37">
        <f t="shared" si="2"/>
        <v>0.29934520000000003</v>
      </c>
      <c r="P12" s="37">
        <f t="shared" si="3"/>
        <v>4.0275536000000056E-2</v>
      </c>
      <c r="Q12" s="37">
        <f t="shared" si="4"/>
        <v>0.33962073600000009</v>
      </c>
      <c r="R12" s="37"/>
      <c r="S12" s="38"/>
    </row>
    <row r="13" spans="1:21">
      <c r="A13">
        <f>Entry!B14</f>
        <v>275</v>
      </c>
      <c r="B13" s="1" t="s">
        <v>18</v>
      </c>
      <c r="C13" s="18">
        <f>Entry!C14</f>
        <v>42405.710416666669</v>
      </c>
      <c r="D13" s="41">
        <f>Entry!D14</f>
        <v>0.91180555555555554</v>
      </c>
      <c r="E13" s="33">
        <v>100</v>
      </c>
      <c r="F13" s="33">
        <v>10</v>
      </c>
      <c r="G13" s="34">
        <f>Entry!H14</f>
        <v>3.01</v>
      </c>
      <c r="H13" s="34">
        <f>Entry!I14</f>
        <v>1.83</v>
      </c>
      <c r="I13" s="44">
        <v>1</v>
      </c>
      <c r="J13" s="49">
        <f>Entry!$J$3</f>
        <v>1.9438</v>
      </c>
      <c r="K13" s="37">
        <f t="shared" si="0"/>
        <v>0.30099999999999999</v>
      </c>
      <c r="L13" s="37">
        <f t="shared" si="1"/>
        <v>1.6448087431693987</v>
      </c>
      <c r="M13" s="37">
        <f t="shared" si="5"/>
        <v>0.3173333333333333</v>
      </c>
      <c r="N13" s="37">
        <f t="shared" si="6"/>
        <v>1.6984175100505492</v>
      </c>
      <c r="O13" s="37">
        <f t="shared" si="2"/>
        <v>0.22936839999999994</v>
      </c>
      <c r="P13" s="37">
        <f t="shared" si="3"/>
        <v>6.9432536000000128E-2</v>
      </c>
      <c r="Q13" s="37">
        <f t="shared" si="4"/>
        <v>0.29880093600000007</v>
      </c>
      <c r="R13" s="37">
        <f t="shared" si="7"/>
        <v>0.25398986666666667</v>
      </c>
      <c r="S13" s="38">
        <f t="shared" si="8"/>
        <v>5.0797973333333385E-2</v>
      </c>
      <c r="T13">
        <f t="shared" si="9"/>
        <v>0.30478784000000009</v>
      </c>
      <c r="U13">
        <f t="shared" si="10"/>
        <v>3.932693802946418E-2</v>
      </c>
    </row>
    <row r="14" spans="1:21">
      <c r="A14">
        <f>Entry!B15</f>
        <v>276</v>
      </c>
      <c r="B14" s="1" t="s">
        <v>18</v>
      </c>
      <c r="C14" s="18">
        <f>Entry!C15</f>
        <v>42405.729166666664</v>
      </c>
      <c r="D14" s="41">
        <f>Entry!D15</f>
        <v>0.93055555555555547</v>
      </c>
      <c r="E14" s="33">
        <v>100</v>
      </c>
      <c r="F14" s="33">
        <v>10</v>
      </c>
      <c r="G14" s="34">
        <f>Entry!H15</f>
        <v>2.6</v>
      </c>
      <c r="H14" s="34">
        <f>Entry!I15</f>
        <v>1.56</v>
      </c>
      <c r="I14" s="44">
        <v>1</v>
      </c>
      <c r="J14" s="49">
        <f>Entry!$J$3</f>
        <v>1.9438</v>
      </c>
      <c r="K14" s="37">
        <f t="shared" si="0"/>
        <v>0.26</v>
      </c>
      <c r="L14" s="37">
        <f t="shared" si="1"/>
        <v>1.6666666666666667</v>
      </c>
      <c r="M14" s="37"/>
      <c r="N14" s="37"/>
      <c r="O14" s="37">
        <f t="shared" si="2"/>
        <v>0.20215520000000003</v>
      </c>
      <c r="P14" s="37">
        <f t="shared" si="3"/>
        <v>5.2560352000000005E-2</v>
      </c>
      <c r="Q14" s="37">
        <f t="shared" si="4"/>
        <v>0.25471555200000007</v>
      </c>
      <c r="R14" s="37"/>
      <c r="S14" s="38"/>
    </row>
    <row r="15" spans="1:21" ht="13" customHeight="1">
      <c r="A15">
        <f>Entry!B16</f>
        <v>277</v>
      </c>
      <c r="B15" s="1" t="s">
        <v>18</v>
      </c>
      <c r="C15" s="18">
        <f>Entry!C16</f>
        <v>42405.729166666664</v>
      </c>
      <c r="D15" s="41">
        <f>Entry!D16</f>
        <v>0.93055555555555547</v>
      </c>
      <c r="E15" s="33">
        <v>100</v>
      </c>
      <c r="F15" s="33">
        <v>10</v>
      </c>
      <c r="G15" s="34">
        <f>Entry!H16</f>
        <v>2.52</v>
      </c>
      <c r="H15" s="34">
        <f>Entry!I16</f>
        <v>1.43</v>
      </c>
      <c r="I15" s="44">
        <v>1</v>
      </c>
      <c r="J15" s="49">
        <f>Entry!$J$3</f>
        <v>1.9438</v>
      </c>
      <c r="K15" s="37">
        <f t="shared" si="0"/>
        <v>0.252</v>
      </c>
      <c r="L15" s="37">
        <f t="shared" si="1"/>
        <v>1.7622377622377623</v>
      </c>
      <c r="M15" s="37"/>
      <c r="N15" s="37"/>
      <c r="O15" s="37">
        <f t="shared" si="2"/>
        <v>0.21187420000000001</v>
      </c>
      <c r="P15" s="37">
        <f t="shared" si="3"/>
        <v>2.1615056000000035E-2</v>
      </c>
      <c r="Q15" s="37">
        <f t="shared" si="4"/>
        <v>0.23348925600000003</v>
      </c>
      <c r="R15" s="37"/>
      <c r="S15" s="38"/>
    </row>
    <row r="16" spans="1:21">
      <c r="A16">
        <f>Entry!B17</f>
        <v>278</v>
      </c>
      <c r="B16" s="1" t="s">
        <v>18</v>
      </c>
      <c r="C16" s="18">
        <f>Entry!C17</f>
        <v>42405.729166666664</v>
      </c>
      <c r="D16" s="41">
        <f>Entry!D17</f>
        <v>0.93055555555555547</v>
      </c>
      <c r="E16" s="33">
        <v>100</v>
      </c>
      <c r="F16" s="33">
        <v>10</v>
      </c>
      <c r="G16" s="34">
        <f>Entry!H17</f>
        <v>2.7</v>
      </c>
      <c r="H16" s="34">
        <f>Entry!I17</f>
        <v>1.62</v>
      </c>
      <c r="I16" s="44">
        <v>1</v>
      </c>
      <c r="J16" s="49">
        <f>Entry!$J$3</f>
        <v>1.9438</v>
      </c>
      <c r="K16" s="37">
        <f t="shared" si="0"/>
        <v>0.27</v>
      </c>
      <c r="L16" s="37">
        <f t="shared" si="1"/>
        <v>1.6666666666666667</v>
      </c>
      <c r="M16" s="37">
        <f t="shared" si="5"/>
        <v>0.26066666666666666</v>
      </c>
      <c r="N16" s="37">
        <f t="shared" si="6"/>
        <v>1.6985236985236984</v>
      </c>
      <c r="O16" s="37">
        <f t="shared" si="2"/>
        <v>0.20993040000000002</v>
      </c>
      <c r="P16" s="37">
        <f t="shared" si="3"/>
        <v>5.4581904000000028E-2</v>
      </c>
      <c r="Q16" s="37">
        <f t="shared" si="4"/>
        <v>0.26451230400000003</v>
      </c>
      <c r="R16" s="37">
        <f t="shared" si="7"/>
        <v>0.20798660000000002</v>
      </c>
      <c r="S16" s="38">
        <f t="shared" si="8"/>
        <v>4.291910400000002E-2</v>
      </c>
      <c r="T16">
        <f t="shared" si="9"/>
        <v>0.25090570400000006</v>
      </c>
      <c r="U16">
        <f t="shared" si="10"/>
        <v>5.14281139844734E-3</v>
      </c>
    </row>
    <row r="17" spans="1:21">
      <c r="A17">
        <f>Entry!B18</f>
        <v>279</v>
      </c>
      <c r="B17" s="1" t="s">
        <v>18</v>
      </c>
      <c r="C17" s="18">
        <f>Entry!C18</f>
        <v>42405.745138888888</v>
      </c>
      <c r="D17" s="41">
        <f>Entry!D18</f>
        <v>0.94652777777777775</v>
      </c>
      <c r="E17" s="33">
        <v>100</v>
      </c>
      <c r="F17" s="33">
        <v>10</v>
      </c>
      <c r="G17" s="34">
        <f>Entry!H18</f>
        <v>1.88</v>
      </c>
      <c r="H17" s="34">
        <f>Entry!I18</f>
        <v>1.1200000000000001</v>
      </c>
      <c r="I17" s="44">
        <v>1</v>
      </c>
      <c r="J17" s="49">
        <f>Entry!$J$3</f>
        <v>1.9438</v>
      </c>
      <c r="K17" s="37">
        <f t="shared" si="0"/>
        <v>0.188</v>
      </c>
      <c r="L17" s="37">
        <f t="shared" si="1"/>
        <v>1.6785714285714284</v>
      </c>
      <c r="M17" s="37"/>
      <c r="N17" s="37"/>
      <c r="O17" s="37">
        <f t="shared" si="2"/>
        <v>0.14772879999999997</v>
      </c>
      <c r="P17" s="37">
        <f t="shared" si="3"/>
        <v>3.5143904000000101E-2</v>
      </c>
      <c r="Q17" s="37">
        <f t="shared" si="4"/>
        <v>0.18287270400000005</v>
      </c>
      <c r="R17" s="37"/>
      <c r="S17" s="38"/>
    </row>
    <row r="18" spans="1:21">
      <c r="A18">
        <f>Entry!B19</f>
        <v>280</v>
      </c>
      <c r="B18" s="1" t="s">
        <v>18</v>
      </c>
      <c r="C18" s="18">
        <f>Entry!C19</f>
        <v>42405.745138888888</v>
      </c>
      <c r="D18" s="41">
        <f>Entry!D19</f>
        <v>0.94652777777777775</v>
      </c>
      <c r="E18" s="33">
        <v>100</v>
      </c>
      <c r="F18" s="33">
        <v>10</v>
      </c>
      <c r="G18" s="34">
        <f>Entry!H19</f>
        <v>1.89</v>
      </c>
      <c r="H18" s="34">
        <f>Entry!I19</f>
        <v>1.1000000000000001</v>
      </c>
      <c r="I18" s="44">
        <v>1</v>
      </c>
      <c r="J18" s="49">
        <f>Entry!$J$3</f>
        <v>1.9438</v>
      </c>
      <c r="K18" s="37">
        <f t="shared" si="0"/>
        <v>0.189</v>
      </c>
      <c r="L18" s="37">
        <f t="shared" si="1"/>
        <v>1.718181818181818</v>
      </c>
      <c r="M18" s="37"/>
      <c r="N18" s="37"/>
      <c r="O18" s="37">
        <f t="shared" si="2"/>
        <v>0.15356019999999998</v>
      </c>
      <c r="P18" s="37">
        <f t="shared" si="3"/>
        <v>2.6046920000000109E-2</v>
      </c>
      <c r="Q18" s="37">
        <f t="shared" si="4"/>
        <v>0.17960712000000009</v>
      </c>
      <c r="R18" s="37"/>
      <c r="S18" s="38"/>
    </row>
    <row r="19" spans="1:21">
      <c r="A19">
        <f>Entry!B20</f>
        <v>281</v>
      </c>
      <c r="B19" s="1" t="s">
        <v>18</v>
      </c>
      <c r="C19" s="18">
        <f>Entry!C20</f>
        <v>42405.745138888888</v>
      </c>
      <c r="D19" s="41">
        <f>Entry!D20</f>
        <v>0.94652777777777775</v>
      </c>
      <c r="E19" s="33">
        <v>100</v>
      </c>
      <c r="F19" s="33">
        <v>10</v>
      </c>
      <c r="G19" s="34">
        <f>Entry!H20</f>
        <v>1.72</v>
      </c>
      <c r="H19" s="34">
        <f>Entry!I20</f>
        <v>0.99399999999999999</v>
      </c>
      <c r="I19" s="44">
        <v>1</v>
      </c>
      <c r="J19" s="49">
        <f>Entry!$J$3</f>
        <v>1.9438</v>
      </c>
      <c r="K19" s="37">
        <f t="shared" si="0"/>
        <v>0.17200000000000001</v>
      </c>
      <c r="L19" s="37">
        <f t="shared" si="1"/>
        <v>1.7303822937625755</v>
      </c>
      <c r="M19" s="37">
        <f t="shared" si="5"/>
        <v>0.18300000000000002</v>
      </c>
      <c r="N19" s="37">
        <f t="shared" si="6"/>
        <v>1.7090451801719408</v>
      </c>
      <c r="O19" s="37">
        <f t="shared" si="2"/>
        <v>0.14111988</v>
      </c>
      <c r="P19" s="37">
        <f t="shared" si="3"/>
        <v>2.1179644800000036E-2</v>
      </c>
      <c r="Q19" s="37">
        <f t="shared" si="4"/>
        <v>0.16229952480000004</v>
      </c>
      <c r="R19" s="37">
        <f t="shared" si="7"/>
        <v>0.14746962666666663</v>
      </c>
      <c r="S19" s="38">
        <f t="shared" si="8"/>
        <v>2.7456822933333416E-2</v>
      </c>
      <c r="T19">
        <f t="shared" si="9"/>
        <v>0.17492644960000003</v>
      </c>
      <c r="U19">
        <f t="shared" si="10"/>
        <v>6.2242082659671009E-3</v>
      </c>
    </row>
    <row r="20" spans="1:21">
      <c r="A20">
        <f>Entry!B21</f>
        <v>282</v>
      </c>
      <c r="B20" s="1" t="s">
        <v>18</v>
      </c>
      <c r="C20" s="18">
        <f>Entry!C21</f>
        <v>42405.763888888891</v>
      </c>
      <c r="D20" s="41">
        <f>Entry!D21</f>
        <v>0.96527777777777779</v>
      </c>
      <c r="E20" s="33">
        <v>100</v>
      </c>
      <c r="F20" s="33">
        <v>10</v>
      </c>
      <c r="G20" s="34">
        <f>Entry!H21</f>
        <v>1.61</v>
      </c>
      <c r="H20" s="34">
        <f>Entry!I21</f>
        <v>0.95799999999999996</v>
      </c>
      <c r="I20" s="44">
        <v>1</v>
      </c>
      <c r="J20" s="49">
        <f>Entry!$J$3</f>
        <v>1.9438</v>
      </c>
      <c r="K20" s="37">
        <f t="shared" si="0"/>
        <v>0.16100000000000003</v>
      </c>
      <c r="L20" s="37">
        <f t="shared" si="1"/>
        <v>1.6805845511482256</v>
      </c>
      <c r="M20" s="37"/>
      <c r="N20" s="37"/>
      <c r="O20" s="37">
        <f t="shared" si="2"/>
        <v>0.12673576000000003</v>
      </c>
      <c r="P20" s="37">
        <f t="shared" si="3"/>
        <v>2.9685713599999993E-2</v>
      </c>
      <c r="Q20" s="37">
        <f t="shared" si="4"/>
        <v>0.15642147360000003</v>
      </c>
      <c r="R20" s="37"/>
      <c r="S20" s="38"/>
    </row>
    <row r="21" spans="1:21">
      <c r="A21">
        <f>Entry!B22</f>
        <v>283</v>
      </c>
      <c r="B21" s="1" t="s">
        <v>18</v>
      </c>
      <c r="C21" s="18">
        <f>Entry!C22</f>
        <v>42405.763888888891</v>
      </c>
      <c r="D21" s="41">
        <f>Entry!D22</f>
        <v>0.96527777777777779</v>
      </c>
      <c r="E21" s="33">
        <v>100</v>
      </c>
      <c r="F21" s="33">
        <v>10</v>
      </c>
      <c r="G21" s="34">
        <f>Entry!H22</f>
        <v>1.71</v>
      </c>
      <c r="H21" s="34">
        <f>Entry!I22</f>
        <v>1.02</v>
      </c>
      <c r="I21" s="44">
        <v>1</v>
      </c>
      <c r="J21" s="49">
        <f>Entry!$J$3</f>
        <v>1.9438</v>
      </c>
      <c r="K21" s="37">
        <f t="shared" si="0"/>
        <v>0.17100000000000001</v>
      </c>
      <c r="L21" s="37">
        <f t="shared" si="1"/>
        <v>1.6764705882352942</v>
      </c>
      <c r="M21" s="37"/>
      <c r="N21" s="37"/>
      <c r="O21" s="37">
        <f t="shared" si="2"/>
        <v>0.1341222</v>
      </c>
      <c r="P21" s="37">
        <f t="shared" si="3"/>
        <v>3.2422584000000011E-2</v>
      </c>
      <c r="Q21" s="37">
        <f t="shared" si="4"/>
        <v>0.166544784</v>
      </c>
      <c r="R21" s="37"/>
      <c r="S21" s="38"/>
    </row>
    <row r="22" spans="1:21">
      <c r="A22">
        <f>Entry!B23</f>
        <v>284</v>
      </c>
      <c r="B22" s="1" t="s">
        <v>18</v>
      </c>
      <c r="C22" s="18">
        <f>Entry!C23</f>
        <v>42405.763888888891</v>
      </c>
      <c r="D22" s="41">
        <f>Entry!D23</f>
        <v>0.96527777777777779</v>
      </c>
      <c r="E22" s="33">
        <v>100</v>
      </c>
      <c r="F22" s="33">
        <v>10</v>
      </c>
      <c r="G22" s="34">
        <f>Entry!H23</f>
        <v>1.78</v>
      </c>
      <c r="H22" s="34">
        <f>Entry!I23</f>
        <v>1.05</v>
      </c>
      <c r="I22" s="44">
        <v>1</v>
      </c>
      <c r="J22" s="49">
        <f>Entry!$J$3</f>
        <v>1.9438</v>
      </c>
      <c r="K22" s="37">
        <f t="shared" si="0"/>
        <v>0.17800000000000002</v>
      </c>
      <c r="L22" s="37">
        <f t="shared" si="1"/>
        <v>1.6952380952380952</v>
      </c>
      <c r="M22" s="37">
        <f t="shared" si="5"/>
        <v>0.17000000000000004</v>
      </c>
      <c r="N22" s="37">
        <f t="shared" si="6"/>
        <v>1.6840977448738716</v>
      </c>
      <c r="O22" s="37">
        <f t="shared" si="2"/>
        <v>0.14189740000000001</v>
      </c>
      <c r="P22" s="37">
        <f t="shared" si="3"/>
        <v>2.9545760000000029E-2</v>
      </c>
      <c r="Q22" s="37">
        <f t="shared" si="4"/>
        <v>0.17144316000000004</v>
      </c>
      <c r="R22" s="37">
        <f t="shared" si="7"/>
        <v>0.13425178666666668</v>
      </c>
      <c r="S22" s="38">
        <f t="shared" si="8"/>
        <v>3.0551352533333343E-2</v>
      </c>
      <c r="T22">
        <f t="shared" si="9"/>
        <v>0.16480313920000003</v>
      </c>
      <c r="U22">
        <f t="shared" si="10"/>
        <v>7.5816506382537273E-3</v>
      </c>
    </row>
    <row r="23" spans="1:21">
      <c r="A23">
        <f>Entry!B24</f>
        <v>285</v>
      </c>
      <c r="B23" s="1" t="s">
        <v>18</v>
      </c>
      <c r="C23" s="18">
        <f>Entry!C24</f>
        <v>42405.779861111114</v>
      </c>
      <c r="D23" s="41">
        <f>Entry!D24</f>
        <v>0.98125000000000007</v>
      </c>
      <c r="E23" s="33">
        <v>100</v>
      </c>
      <c r="F23" s="33">
        <v>10</v>
      </c>
      <c r="G23" s="34">
        <f>Entry!H24</f>
        <v>2.12</v>
      </c>
      <c r="H23" s="34">
        <f>Entry!I24</f>
        <v>1.24</v>
      </c>
      <c r="I23" s="44">
        <v>1</v>
      </c>
      <c r="J23" s="49">
        <f>Entry!$J$3</f>
        <v>1.9438</v>
      </c>
      <c r="K23" s="37">
        <f t="shared" si="0"/>
        <v>0.21200000000000002</v>
      </c>
      <c r="L23" s="37">
        <f t="shared" si="1"/>
        <v>1.7096774193548387</v>
      </c>
      <c r="M23" s="37"/>
      <c r="N23" s="37"/>
      <c r="O23" s="37">
        <f t="shared" si="2"/>
        <v>0.17105440000000005</v>
      </c>
      <c r="P23" s="37">
        <f t="shared" si="3"/>
        <v>3.1411807999999992E-2</v>
      </c>
      <c r="Q23" s="37">
        <f t="shared" si="4"/>
        <v>0.20246620800000004</v>
      </c>
      <c r="R23" s="37"/>
      <c r="S23" s="38"/>
    </row>
    <row r="24" spans="1:21" ht="13" customHeight="1">
      <c r="A24" t="s">
        <v>114</v>
      </c>
      <c r="B24" s="1" t="s">
        <v>18</v>
      </c>
      <c r="C24" s="18">
        <f>Entry!C25</f>
        <v>0</v>
      </c>
      <c r="D24" s="41">
        <f>Entry!D25</f>
        <v>0</v>
      </c>
      <c r="E24" s="33">
        <v>100</v>
      </c>
      <c r="F24" s="33">
        <v>10</v>
      </c>
      <c r="G24" s="50" t="s">
        <v>115</v>
      </c>
      <c r="H24" s="34">
        <f>Entry!I25</f>
        <v>0</v>
      </c>
      <c r="I24" s="44">
        <v>1</v>
      </c>
      <c r="J24" s="49">
        <f>Entry!$J$3</f>
        <v>1.9438</v>
      </c>
      <c r="K24" s="37" t="e">
        <f t="shared" si="0"/>
        <v>#VALUE!</v>
      </c>
      <c r="L24" s="37" t="e">
        <f t="shared" si="1"/>
        <v>#VALUE!</v>
      </c>
      <c r="M24" s="37"/>
      <c r="N24" s="37"/>
      <c r="O24" s="37" t="e">
        <f t="shared" si="2"/>
        <v>#VALUE!</v>
      </c>
      <c r="P24" s="37" t="e">
        <f t="shared" si="3"/>
        <v>#VALUE!</v>
      </c>
      <c r="Q24" s="37" t="e">
        <f t="shared" si="4"/>
        <v>#VALUE!</v>
      </c>
      <c r="R24" s="37"/>
      <c r="S24" s="38"/>
    </row>
    <row r="25" spans="1:21">
      <c r="A25" t="s">
        <v>114</v>
      </c>
      <c r="B25" s="1" t="s">
        <v>18</v>
      </c>
      <c r="C25" s="18">
        <f>Entry!C26</f>
        <v>0</v>
      </c>
      <c r="D25" s="41">
        <f>Entry!D26</f>
        <v>0</v>
      </c>
      <c r="E25" s="33">
        <v>100</v>
      </c>
      <c r="F25" s="33">
        <v>10</v>
      </c>
      <c r="G25" s="50" t="s">
        <v>116</v>
      </c>
      <c r="H25" s="34">
        <f>Entry!I26</f>
        <v>0</v>
      </c>
      <c r="I25" s="44">
        <v>1</v>
      </c>
      <c r="J25" s="49">
        <f>Entry!$J$3</f>
        <v>1.9438</v>
      </c>
      <c r="K25" s="37" t="e">
        <f t="shared" si="0"/>
        <v>#VALUE!</v>
      </c>
      <c r="L25" s="37" t="e">
        <f t="shared" si="1"/>
        <v>#VALUE!</v>
      </c>
      <c r="M25" s="37" t="e">
        <f t="shared" si="5"/>
        <v>#VALUE!</v>
      </c>
      <c r="N25" s="37" t="e">
        <f t="shared" si="6"/>
        <v>#VALUE!</v>
      </c>
      <c r="O25" s="37" t="e">
        <f t="shared" si="2"/>
        <v>#VALUE!</v>
      </c>
      <c r="P25" s="37" t="e">
        <f t="shared" si="3"/>
        <v>#VALUE!</v>
      </c>
      <c r="Q25" s="37" t="e">
        <f t="shared" si="4"/>
        <v>#VALUE!</v>
      </c>
      <c r="R25" s="37" t="e">
        <f t="shared" si="7"/>
        <v>#VALUE!</v>
      </c>
      <c r="S25" s="38" t="e">
        <f t="shared" si="8"/>
        <v>#VALUE!</v>
      </c>
      <c r="T25" t="e">
        <f t="shared" si="9"/>
        <v>#VALUE!</v>
      </c>
      <c r="U25" t="e">
        <f t="shared" si="10"/>
        <v>#VALUE!</v>
      </c>
    </row>
    <row r="26" spans="1:21">
      <c r="A26">
        <f>Entry!B27</f>
        <v>348</v>
      </c>
      <c r="B26" s="1" t="s">
        <v>18</v>
      </c>
      <c r="C26" s="18">
        <f>Entry!C27</f>
        <v>42407.696527777778</v>
      </c>
      <c r="D26" s="41">
        <f>Entry!D27</f>
        <v>2.0645833333333332</v>
      </c>
      <c r="E26" s="33">
        <v>100</v>
      </c>
      <c r="F26" s="33">
        <v>10</v>
      </c>
      <c r="G26" s="34">
        <f>Entry!H27</f>
        <v>2.79</v>
      </c>
      <c r="H26" s="34">
        <f>Entry!I27</f>
        <v>1.62</v>
      </c>
      <c r="I26" s="44">
        <v>1</v>
      </c>
      <c r="J26" s="49">
        <f>Entry!$J$3</f>
        <v>1.9438</v>
      </c>
      <c r="K26" s="37">
        <f t="shared" si="0"/>
        <v>0.27900000000000003</v>
      </c>
      <c r="L26" s="37">
        <f t="shared" si="1"/>
        <v>1.7222222222222221</v>
      </c>
      <c r="M26" s="37"/>
      <c r="N26" s="37"/>
      <c r="O26" s="37">
        <f t="shared" si="2"/>
        <v>0.22742459999999998</v>
      </c>
      <c r="P26" s="37">
        <f t="shared" si="3"/>
        <v>3.7087704000000062E-2</v>
      </c>
      <c r="Q26" s="37">
        <f t="shared" si="4"/>
        <v>0.26451230400000003</v>
      </c>
      <c r="R26" s="37"/>
      <c r="S26" s="38"/>
    </row>
    <row r="27" spans="1:21">
      <c r="A27">
        <f>Entry!B28</f>
        <v>349</v>
      </c>
      <c r="B27" s="1" t="s">
        <v>18</v>
      </c>
      <c r="C27" s="18">
        <f>Entry!C28</f>
        <v>42407.696527777778</v>
      </c>
      <c r="D27" s="41">
        <f>Entry!D28</f>
        <v>2.0645833333333332</v>
      </c>
      <c r="E27" s="33">
        <v>100</v>
      </c>
      <c r="F27" s="33">
        <v>10</v>
      </c>
      <c r="G27" s="34">
        <f>Entry!H28</f>
        <v>3.14</v>
      </c>
      <c r="H27" s="34">
        <f>Entry!I28</f>
        <v>1.87</v>
      </c>
      <c r="I27" s="44">
        <v>1</v>
      </c>
      <c r="J27" s="49">
        <f>Entry!$J$3</f>
        <v>1.9438</v>
      </c>
      <c r="K27" s="37">
        <f t="shared" si="0"/>
        <v>0.31400000000000006</v>
      </c>
      <c r="L27" s="37">
        <f t="shared" si="1"/>
        <v>1.679144385026738</v>
      </c>
      <c r="M27" s="37"/>
      <c r="N27" s="37"/>
      <c r="O27" s="37">
        <f t="shared" si="2"/>
        <v>0.24686260000000002</v>
      </c>
      <c r="P27" s="37">
        <f t="shared" si="3"/>
        <v>5.846950400000004E-2</v>
      </c>
      <c r="Q27" s="37">
        <f t="shared" si="4"/>
        <v>0.30533210400000005</v>
      </c>
      <c r="R27" s="37"/>
      <c r="S27" s="38"/>
    </row>
    <row r="28" spans="1:21">
      <c r="A28">
        <f>Entry!B29</f>
        <v>350</v>
      </c>
      <c r="B28" s="1" t="s">
        <v>18</v>
      </c>
      <c r="C28" s="18">
        <f>Entry!C29</f>
        <v>42407.696527777778</v>
      </c>
      <c r="D28" s="41">
        <f>Entry!D29</f>
        <v>2.0645833333333332</v>
      </c>
      <c r="E28" s="33">
        <v>100</v>
      </c>
      <c r="F28" s="33">
        <v>10</v>
      </c>
      <c r="G28" s="34">
        <f>Entry!H29</f>
        <v>3.25</v>
      </c>
      <c r="H28" s="34">
        <f>Entry!I29</f>
        <v>1.93</v>
      </c>
      <c r="I28" s="44">
        <v>1</v>
      </c>
      <c r="J28" s="49">
        <f>Entry!$J$3</f>
        <v>1.9438</v>
      </c>
      <c r="K28" s="37">
        <f t="shared" si="0"/>
        <v>0.32500000000000001</v>
      </c>
      <c r="L28" s="37">
        <f t="shared" si="1"/>
        <v>1.6839378238341969</v>
      </c>
      <c r="M28" s="37">
        <f t="shared" si="5"/>
        <v>0.30600000000000005</v>
      </c>
      <c r="N28" s="37">
        <f t="shared" si="6"/>
        <v>1.6951014770277189</v>
      </c>
      <c r="O28" s="37">
        <f t="shared" si="2"/>
        <v>0.25658160000000002</v>
      </c>
      <c r="P28" s="37">
        <f t="shared" si="3"/>
        <v>5.8547256000000027E-2</v>
      </c>
      <c r="Q28" s="37">
        <f t="shared" si="4"/>
        <v>0.31512885600000007</v>
      </c>
      <c r="R28" s="37">
        <f t="shared" si="7"/>
        <v>0.24362293333333337</v>
      </c>
      <c r="S28" s="38">
        <f t="shared" si="8"/>
        <v>5.1368154666666714E-2</v>
      </c>
      <c r="T28">
        <f t="shared" si="9"/>
        <v>0.29499108800000001</v>
      </c>
      <c r="U28">
        <f t="shared" si="10"/>
        <v>1.4846017726425293E-2</v>
      </c>
    </row>
    <row r="29" spans="1:21">
      <c r="A29">
        <f>Entry!B30</f>
        <v>351</v>
      </c>
      <c r="B29" s="1" t="s">
        <v>18</v>
      </c>
      <c r="C29" s="18">
        <f>Entry!C30</f>
        <v>42407.711805555555</v>
      </c>
      <c r="D29" s="41">
        <f>Entry!D30</f>
        <v>2.0798611111111112</v>
      </c>
      <c r="E29" s="33">
        <v>100</v>
      </c>
      <c r="F29" s="33">
        <v>10</v>
      </c>
      <c r="G29" s="34">
        <f>Entry!H30</f>
        <v>7.5</v>
      </c>
      <c r="H29" s="34">
        <f>Entry!I30</f>
        <v>4.38</v>
      </c>
      <c r="I29" s="44">
        <v>1</v>
      </c>
      <c r="J29" s="49">
        <f>Entry!$J$3</f>
        <v>1.9438</v>
      </c>
      <c r="K29" s="37">
        <f t="shared" si="0"/>
        <v>0.75</v>
      </c>
      <c r="L29" s="37">
        <f t="shared" si="1"/>
        <v>1.7123287671232876</v>
      </c>
      <c r="M29" s="37"/>
      <c r="N29" s="37"/>
      <c r="O29" s="37">
        <f t="shared" si="2"/>
        <v>0.60646560000000005</v>
      </c>
      <c r="P29" s="37">
        <f t="shared" si="3"/>
        <v>0.10869729600000011</v>
      </c>
      <c r="Q29" s="37">
        <f t="shared" si="4"/>
        <v>0.71516289600000016</v>
      </c>
      <c r="R29" s="37"/>
      <c r="S29" s="38"/>
    </row>
    <row r="30" spans="1:21">
      <c r="A30">
        <f>Entry!B31</f>
        <v>352</v>
      </c>
      <c r="B30" s="1" t="s">
        <v>18</v>
      </c>
      <c r="C30" s="18">
        <f>Entry!C31</f>
        <v>42407.711805555555</v>
      </c>
      <c r="D30" s="41">
        <f>Entry!D31</f>
        <v>2.0798611111111112</v>
      </c>
      <c r="E30" s="33">
        <v>100</v>
      </c>
      <c r="F30" s="33">
        <v>10</v>
      </c>
      <c r="G30" s="34">
        <f>Entry!H31</f>
        <v>8.77</v>
      </c>
      <c r="H30" s="34">
        <f>Entry!I31</f>
        <v>5.09</v>
      </c>
      <c r="I30" s="44">
        <v>1</v>
      </c>
      <c r="J30" s="49">
        <f>Entry!$J$3</f>
        <v>1.9438</v>
      </c>
      <c r="K30" s="37">
        <f t="shared" si="0"/>
        <v>0.877</v>
      </c>
      <c r="L30" s="37">
        <f t="shared" si="1"/>
        <v>1.7229862475442044</v>
      </c>
      <c r="M30" s="37"/>
      <c r="N30" s="37"/>
      <c r="O30" s="37">
        <f t="shared" si="2"/>
        <v>0.71531840000000002</v>
      </c>
      <c r="P30" s="37">
        <f t="shared" si="3"/>
        <v>0.11577272800000021</v>
      </c>
      <c r="Q30" s="37">
        <f t="shared" si="4"/>
        <v>0.83109112800000018</v>
      </c>
      <c r="R30" s="37"/>
      <c r="S30" s="38"/>
    </row>
    <row r="31" spans="1:21">
      <c r="A31">
        <f>Entry!B32</f>
        <v>353</v>
      </c>
      <c r="B31" s="1" t="s">
        <v>18</v>
      </c>
      <c r="C31" s="18">
        <f>Entry!C32</f>
        <v>42407.711805555555</v>
      </c>
      <c r="D31" s="41">
        <f>Entry!D32</f>
        <v>2.0798611111111112</v>
      </c>
      <c r="E31" s="33">
        <v>100</v>
      </c>
      <c r="F31" s="33">
        <v>10</v>
      </c>
      <c r="G31" s="34">
        <f>Entry!H32</f>
        <v>7.86</v>
      </c>
      <c r="H31" s="34">
        <f>Entry!I32</f>
        <v>4.7</v>
      </c>
      <c r="I31" s="44">
        <v>1</v>
      </c>
      <c r="J31" s="49">
        <f>Entry!$J$3</f>
        <v>1.9438</v>
      </c>
      <c r="K31" s="37">
        <f t="shared" si="0"/>
        <v>0.78600000000000003</v>
      </c>
      <c r="L31" s="37">
        <f t="shared" si="1"/>
        <v>1.672340425531915</v>
      </c>
      <c r="M31" s="37">
        <f t="shared" si="5"/>
        <v>0.80433333333333346</v>
      </c>
      <c r="N31" s="37">
        <f t="shared" si="6"/>
        <v>1.7025518133998023</v>
      </c>
      <c r="O31" s="37">
        <f t="shared" si="2"/>
        <v>0.61424080000000014</v>
      </c>
      <c r="P31" s="37">
        <f t="shared" si="3"/>
        <v>0.15317144000000024</v>
      </c>
      <c r="Q31" s="37">
        <f t="shared" si="4"/>
        <v>0.76741224000000041</v>
      </c>
      <c r="R31" s="37">
        <f t="shared" si="7"/>
        <v>0.64534160000000007</v>
      </c>
      <c r="S31" s="38">
        <f t="shared" si="8"/>
        <v>0.12588048800000018</v>
      </c>
      <c r="T31">
        <f t="shared" si="9"/>
        <v>0.77122208800000036</v>
      </c>
      <c r="U31">
        <f t="shared" si="10"/>
        <v>6.0726253280109381E-2</v>
      </c>
    </row>
    <row r="32" spans="1:21">
      <c r="A32">
        <f>Entry!B33</f>
        <v>354</v>
      </c>
      <c r="B32" s="1" t="s">
        <v>18</v>
      </c>
      <c r="C32" s="18">
        <f>Entry!C33</f>
        <v>42407.730555555558</v>
      </c>
      <c r="D32" s="41">
        <f>Entry!D33</f>
        <v>2.098611111111111</v>
      </c>
      <c r="E32" s="33">
        <v>100</v>
      </c>
      <c r="F32" s="33">
        <v>10</v>
      </c>
      <c r="G32" s="34">
        <f>Entry!H33</f>
        <v>4.91</v>
      </c>
      <c r="H32" s="34">
        <f>Entry!I33</f>
        <v>2.77</v>
      </c>
      <c r="I32" s="44">
        <v>1</v>
      </c>
      <c r="J32" s="49">
        <f>Entry!$J$3</f>
        <v>1.9438</v>
      </c>
      <c r="K32" s="37">
        <f t="shared" si="0"/>
        <v>0.49100000000000005</v>
      </c>
      <c r="L32" s="37">
        <f t="shared" si="1"/>
        <v>1.772563176895307</v>
      </c>
      <c r="M32" s="37"/>
      <c r="N32" s="37"/>
      <c r="O32" s="37">
        <f t="shared" si="2"/>
        <v>0.41597320000000004</v>
      </c>
      <c r="P32" s="37">
        <f t="shared" si="3"/>
        <v>3.6310183999999975E-2</v>
      </c>
      <c r="Q32" s="37">
        <f t="shared" si="4"/>
        <v>0.45228338400000001</v>
      </c>
      <c r="R32" s="37"/>
      <c r="S32" s="38"/>
    </row>
    <row r="33" spans="1:21">
      <c r="A33">
        <f>Entry!B34</f>
        <v>355</v>
      </c>
      <c r="B33" s="1" t="s">
        <v>18</v>
      </c>
      <c r="C33" s="18">
        <f>Entry!C34</f>
        <v>42407.730555555558</v>
      </c>
      <c r="D33" s="41">
        <f>Entry!D34</f>
        <v>2.098611111111111</v>
      </c>
      <c r="E33" s="33">
        <v>100</v>
      </c>
      <c r="F33" s="33">
        <v>10</v>
      </c>
      <c r="G33" s="34">
        <f>Entry!H34</f>
        <v>0</v>
      </c>
      <c r="H33" s="34">
        <f>Entry!I34</f>
        <v>2.8</v>
      </c>
      <c r="I33" s="44">
        <v>1</v>
      </c>
      <c r="J33" s="49">
        <f>Entry!$J$3</f>
        <v>1.9438</v>
      </c>
      <c r="K33" s="37">
        <f t="shared" si="0"/>
        <v>0</v>
      </c>
      <c r="L33" s="37">
        <f t="shared" si="1"/>
        <v>0</v>
      </c>
      <c r="M33" s="37"/>
      <c r="N33" s="37"/>
      <c r="O33" s="37">
        <f t="shared" si="2"/>
        <v>-0.54426399999999997</v>
      </c>
      <c r="P33" s="37">
        <f t="shared" si="3"/>
        <v>1.00144576</v>
      </c>
      <c r="Q33" s="37">
        <f t="shared" si="4"/>
        <v>0.45718175999999999</v>
      </c>
      <c r="R33" s="37"/>
      <c r="S33" s="38"/>
    </row>
    <row r="34" spans="1:21">
      <c r="A34">
        <f>Entry!B35</f>
        <v>356</v>
      </c>
      <c r="B34" s="1" t="s">
        <v>18</v>
      </c>
      <c r="C34" s="18">
        <f>Entry!C35</f>
        <v>42407.730555555558</v>
      </c>
      <c r="D34" s="41">
        <f>Entry!D35</f>
        <v>2.098611111111111</v>
      </c>
      <c r="E34" s="33">
        <v>100</v>
      </c>
      <c r="F34" s="33">
        <v>10</v>
      </c>
      <c r="G34" s="34">
        <f>Entry!H35</f>
        <v>5.09</v>
      </c>
      <c r="H34" s="34">
        <f>Entry!I35</f>
        <v>2.56</v>
      </c>
      <c r="I34" s="44">
        <v>1</v>
      </c>
      <c r="J34" s="49">
        <f>Entry!$J$3</f>
        <v>1.9438</v>
      </c>
      <c r="K34" s="37">
        <f t="shared" si="0"/>
        <v>0.50900000000000001</v>
      </c>
      <c r="L34" s="37">
        <f t="shared" si="1"/>
        <v>1.98828125</v>
      </c>
      <c r="M34" s="37">
        <f t="shared" si="5"/>
        <v>0.33333333333333331</v>
      </c>
      <c r="N34" s="37">
        <f t="shared" si="6"/>
        <v>1.2536148089651025</v>
      </c>
      <c r="O34" s="37">
        <f t="shared" si="2"/>
        <v>0.49178140000000004</v>
      </c>
      <c r="P34" s="37">
        <f t="shared" si="3"/>
        <v>-7.3786647999999996E-2</v>
      </c>
      <c r="Q34" s="37">
        <f t="shared" si="4"/>
        <v>0.41799475200000002</v>
      </c>
      <c r="R34" s="37">
        <f t="shared" si="7"/>
        <v>0.12116353333333336</v>
      </c>
      <c r="S34" s="38">
        <f t="shared" si="8"/>
        <v>0.32132309866666664</v>
      </c>
      <c r="T34">
        <f t="shared" si="9"/>
        <v>0.44248663200000005</v>
      </c>
      <c r="U34">
        <f t="shared" si="10"/>
        <v>0.57752235661087037</v>
      </c>
    </row>
    <row r="35" spans="1:21">
      <c r="A35">
        <f>Entry!B36</f>
        <v>357</v>
      </c>
      <c r="B35" s="1" t="s">
        <v>18</v>
      </c>
      <c r="C35" s="18">
        <f>Entry!C36</f>
        <v>42407.74722222222</v>
      </c>
      <c r="D35" s="41">
        <f>Entry!D36</f>
        <v>2.1152777777777776</v>
      </c>
      <c r="E35" s="33">
        <v>100</v>
      </c>
      <c r="F35" s="33">
        <v>10</v>
      </c>
      <c r="G35" s="34">
        <f>Entry!H36</f>
        <v>4.72</v>
      </c>
      <c r="H35" s="34">
        <f>Entry!I36</f>
        <v>1.41</v>
      </c>
      <c r="I35" s="44">
        <v>1</v>
      </c>
      <c r="J35" s="49">
        <f>Entry!$J$3</f>
        <v>1.9438</v>
      </c>
      <c r="K35" s="37">
        <f t="shared" si="0"/>
        <v>0.47199999999999998</v>
      </c>
      <c r="L35" s="37">
        <f t="shared" si="1"/>
        <v>3.3475177304964538</v>
      </c>
      <c r="M35" s="37"/>
      <c r="N35" s="37"/>
      <c r="O35" s="37">
        <f t="shared" si="2"/>
        <v>0.64339779999999991</v>
      </c>
      <c r="P35" s="37">
        <f t="shared" si="3"/>
        <v>-0.41317412800000003</v>
      </c>
      <c r="Q35" s="37">
        <f t="shared" si="4"/>
        <v>0.23022367199999988</v>
      </c>
      <c r="R35" s="37"/>
      <c r="S35" s="38"/>
    </row>
    <row r="36" spans="1:21">
      <c r="A36">
        <f>Entry!B37</f>
        <v>358</v>
      </c>
      <c r="B36" s="1" t="s">
        <v>18</v>
      </c>
      <c r="C36" s="18">
        <f>Entry!C37</f>
        <v>42407.74722222222</v>
      </c>
      <c r="D36" s="41">
        <f>Entry!D37</f>
        <v>2.1152777777777776</v>
      </c>
      <c r="E36" s="33">
        <v>100</v>
      </c>
      <c r="F36" s="33">
        <v>10</v>
      </c>
      <c r="G36" s="34">
        <f>Entry!H37</f>
        <v>2.38</v>
      </c>
      <c r="H36" s="34">
        <f>Entry!I37</f>
        <v>1.56</v>
      </c>
      <c r="I36" s="44">
        <v>1</v>
      </c>
      <c r="J36" s="49">
        <f>Entry!$J$3</f>
        <v>1.9438</v>
      </c>
      <c r="K36" s="37">
        <f t="shared" si="0"/>
        <v>0.23799999999999999</v>
      </c>
      <c r="L36" s="37">
        <f t="shared" si="1"/>
        <v>1.5256410256410255</v>
      </c>
      <c r="M36" s="37"/>
      <c r="N36" s="37"/>
      <c r="O36" s="37">
        <f t="shared" si="2"/>
        <v>0.15939159999999997</v>
      </c>
      <c r="P36" s="37">
        <f t="shared" si="3"/>
        <v>9.5323952000000045E-2</v>
      </c>
      <c r="Q36" s="37">
        <f t="shared" si="4"/>
        <v>0.25471555200000001</v>
      </c>
      <c r="R36" s="37"/>
      <c r="S36" s="38"/>
    </row>
    <row r="37" spans="1:21">
      <c r="A37">
        <f>Entry!B38</f>
        <v>359</v>
      </c>
      <c r="B37" s="1" t="s">
        <v>18</v>
      </c>
      <c r="C37" s="18">
        <f>Entry!C38</f>
        <v>42407.74722222222</v>
      </c>
      <c r="D37" s="41">
        <f>Entry!D38</f>
        <v>2.1152777777777776</v>
      </c>
      <c r="E37" s="33">
        <v>100</v>
      </c>
      <c r="F37" s="33">
        <v>10</v>
      </c>
      <c r="G37" s="34">
        <f>Entry!H38</f>
        <v>2.62</v>
      </c>
      <c r="H37" s="34">
        <f>Entry!I38</f>
        <v>1.68</v>
      </c>
      <c r="I37" s="44">
        <v>1</v>
      </c>
      <c r="J37" s="49">
        <f>Entry!$J$3</f>
        <v>1.9438</v>
      </c>
      <c r="K37" s="37">
        <f t="shared" si="0"/>
        <v>0.26200000000000001</v>
      </c>
      <c r="L37" s="37">
        <f t="shared" si="1"/>
        <v>1.5595238095238095</v>
      </c>
      <c r="M37" s="37">
        <f t="shared" si="5"/>
        <v>0.32400000000000001</v>
      </c>
      <c r="N37" s="37">
        <f t="shared" si="6"/>
        <v>2.1442275218870965</v>
      </c>
      <c r="O37" s="37">
        <f t="shared" si="2"/>
        <v>0.18271720000000002</v>
      </c>
      <c r="P37" s="37">
        <f t="shared" si="3"/>
        <v>9.1591856000000027E-2</v>
      </c>
      <c r="Q37" s="37">
        <f t="shared" si="4"/>
        <v>0.27430905600000005</v>
      </c>
      <c r="R37" s="37">
        <f t="shared" si="7"/>
        <v>0.32850219999999997</v>
      </c>
      <c r="S37" s="38">
        <f t="shared" si="8"/>
        <v>-7.541943999999999E-2</v>
      </c>
      <c r="T37">
        <f t="shared" si="9"/>
        <v>0.25308276000000002</v>
      </c>
      <c r="U37">
        <f t="shared" si="10"/>
        <v>0.27295686486761961</v>
      </c>
    </row>
    <row r="38" spans="1:21">
      <c r="A38">
        <f>Entry!B39</f>
        <v>360</v>
      </c>
      <c r="B38" s="1" t="s">
        <v>18</v>
      </c>
      <c r="C38" s="18">
        <f>Entry!C39</f>
        <v>42407.763194444444</v>
      </c>
      <c r="D38" s="41">
        <f>Entry!D39</f>
        <v>2.1312500000000001</v>
      </c>
      <c r="E38" s="33">
        <v>100</v>
      </c>
      <c r="F38" s="33">
        <v>10</v>
      </c>
      <c r="G38" s="34">
        <f>Entry!H39</f>
        <v>2.89</v>
      </c>
      <c r="H38" s="34">
        <f>Entry!I39</f>
        <v>1.85</v>
      </c>
      <c r="I38" s="44">
        <v>1</v>
      </c>
      <c r="J38" s="49">
        <f>Entry!$J$3</f>
        <v>1.9438</v>
      </c>
      <c r="K38" s="37">
        <f t="shared" si="0"/>
        <v>0.28900000000000003</v>
      </c>
      <c r="L38" s="37">
        <f t="shared" si="1"/>
        <v>1.5621621621621622</v>
      </c>
      <c r="M38" s="37"/>
      <c r="N38" s="37">
        <f t="shared" si="6"/>
        <v>1.5491089991089992</v>
      </c>
      <c r="O38" s="37">
        <f t="shared" si="2"/>
        <v>0.20215520000000003</v>
      </c>
      <c r="P38" s="37">
        <f t="shared" si="3"/>
        <v>9.9911320000000053E-2</v>
      </c>
      <c r="Q38" s="37">
        <f t="shared" si="4"/>
        <v>0.30206652000000012</v>
      </c>
      <c r="R38" s="37"/>
      <c r="S38" s="38"/>
    </row>
    <row r="39" spans="1:21">
      <c r="A39">
        <f>Entry!B40</f>
        <v>361</v>
      </c>
      <c r="B39" s="1" t="s">
        <v>18</v>
      </c>
      <c r="C39" s="18">
        <f>Entry!C40</f>
        <v>42407.763194444444</v>
      </c>
      <c r="D39" s="41">
        <f>Entry!D40</f>
        <v>2.1312500000000001</v>
      </c>
      <c r="E39" s="33">
        <v>100</v>
      </c>
      <c r="F39" s="33">
        <v>10</v>
      </c>
      <c r="G39" s="34">
        <f>Entry!H40</f>
        <v>3.21</v>
      </c>
      <c r="H39" s="34">
        <f>Entry!I40</f>
        <v>1.6</v>
      </c>
      <c r="I39" s="44">
        <v>1</v>
      </c>
      <c r="J39" s="49">
        <f>Entry!$J$3</f>
        <v>1.9438</v>
      </c>
      <c r="K39" s="37">
        <f t="shared" si="0"/>
        <v>0.32100000000000001</v>
      </c>
      <c r="L39" s="37">
        <f t="shared" si="1"/>
        <v>2.0062499999999996</v>
      </c>
      <c r="M39" s="37"/>
      <c r="N39" s="37">
        <f t="shared" si="6"/>
        <v>1.7093119905619905</v>
      </c>
      <c r="O39" s="37">
        <f t="shared" si="2"/>
        <v>0.3129518</v>
      </c>
      <c r="P39" s="37">
        <f t="shared" si="3"/>
        <v>-5.1705079999999917E-2</v>
      </c>
      <c r="Q39" s="37">
        <f t="shared" si="4"/>
        <v>0.2612467200000001</v>
      </c>
      <c r="R39" s="37"/>
      <c r="S39" s="38"/>
    </row>
    <row r="40" spans="1:21">
      <c r="A40">
        <f>Entry!B41</f>
        <v>362</v>
      </c>
      <c r="B40" s="1" t="s">
        <v>18</v>
      </c>
      <c r="C40" s="18">
        <f>Entry!C41</f>
        <v>42407.763194444444</v>
      </c>
      <c r="D40" s="41">
        <f>Entry!D41</f>
        <v>2.1312500000000001</v>
      </c>
      <c r="E40" s="33">
        <v>100</v>
      </c>
      <c r="F40" s="33">
        <v>10</v>
      </c>
      <c r="G40" s="34">
        <f>Entry!H41</f>
        <v>2.72</v>
      </c>
      <c r="H40" s="34">
        <f>Entry!I41</f>
        <v>1.75</v>
      </c>
      <c r="I40" s="44">
        <v>1</v>
      </c>
      <c r="J40" s="49">
        <f>Entry!$J$3</f>
        <v>1.9438</v>
      </c>
      <c r="K40" s="37">
        <f t="shared" si="0"/>
        <v>0.27200000000000002</v>
      </c>
      <c r="L40" s="37">
        <f t="shared" si="1"/>
        <v>1.5542857142857145</v>
      </c>
      <c r="M40" s="37">
        <f t="shared" si="5"/>
        <v>0.29400000000000004</v>
      </c>
      <c r="N40" s="37">
        <f t="shared" si="6"/>
        <v>1.7075659588159589</v>
      </c>
      <c r="O40" s="37">
        <f t="shared" si="2"/>
        <v>0.18854860000000007</v>
      </c>
      <c r="P40" s="37">
        <f t="shared" si="3"/>
        <v>9.7189999999999999E-2</v>
      </c>
      <c r="Q40" s="37">
        <f t="shared" si="4"/>
        <v>0.28573860000000006</v>
      </c>
      <c r="R40" s="37">
        <f t="shared" si="7"/>
        <v>0.23455186666666669</v>
      </c>
      <c r="S40" s="38">
        <f t="shared" si="8"/>
        <v>4.8465413333333374E-2</v>
      </c>
      <c r="T40">
        <f t="shared" si="9"/>
        <v>0.28301728000000009</v>
      </c>
      <c r="U40">
        <f t="shared" si="10"/>
        <v>6.8236332337643493E-2</v>
      </c>
    </row>
    <row r="41" spans="1:21">
      <c r="A41">
        <f>Entry!B42</f>
        <v>363</v>
      </c>
      <c r="B41" s="1" t="s">
        <v>18</v>
      </c>
      <c r="C41" s="18">
        <f>Entry!C42</f>
        <v>42407.779166666667</v>
      </c>
      <c r="D41" s="41">
        <f>Entry!D42</f>
        <v>2.151388888888889</v>
      </c>
      <c r="E41" s="33">
        <v>100</v>
      </c>
      <c r="F41" s="33">
        <v>10</v>
      </c>
      <c r="G41" s="34">
        <f>Entry!H42</f>
        <v>3.04</v>
      </c>
      <c r="H41" s="34">
        <f>Entry!I42</f>
        <v>2.1</v>
      </c>
      <c r="I41" s="44">
        <v>1</v>
      </c>
      <c r="J41" s="49">
        <f>Entry!$J$3</f>
        <v>1.9438</v>
      </c>
      <c r="K41" s="37">
        <f t="shared" si="0"/>
        <v>0.30400000000000005</v>
      </c>
      <c r="L41" s="37">
        <f t="shared" si="1"/>
        <v>1.4476190476190476</v>
      </c>
      <c r="M41" s="37">
        <f t="shared" si="5"/>
        <v>0.29899999999999999</v>
      </c>
      <c r="N41" s="37">
        <f t="shared" si="6"/>
        <v>1.6693849206349205</v>
      </c>
      <c r="O41" s="37">
        <f t="shared" si="2"/>
        <v>0.1827172</v>
      </c>
      <c r="P41" s="37">
        <f t="shared" si="3"/>
        <v>0.16016912000000005</v>
      </c>
      <c r="Q41" s="37">
        <f t="shared" si="4"/>
        <v>0.34288632000000008</v>
      </c>
      <c r="R41" s="37">
        <f t="shared" si="7"/>
        <v>0.22807253333333335</v>
      </c>
      <c r="S41" s="38">
        <f t="shared" si="8"/>
        <v>6.8551346666666721E-2</v>
      </c>
      <c r="T41">
        <f t="shared" si="9"/>
        <v>0.29662388000000006</v>
      </c>
      <c r="U41">
        <f t="shared" si="10"/>
        <v>7.3565404497585155E-2</v>
      </c>
    </row>
    <row r="42" spans="1:21">
      <c r="A42">
        <f>Entry!B43</f>
        <v>0</v>
      </c>
      <c r="B42" s="1" t="s">
        <v>18</v>
      </c>
      <c r="C42" s="18">
        <f>Entry!C43</f>
        <v>0</v>
      </c>
      <c r="D42" s="41">
        <f>Entry!D43</f>
        <v>0</v>
      </c>
      <c r="E42" s="33">
        <v>100</v>
      </c>
      <c r="F42" s="33">
        <v>10</v>
      </c>
      <c r="G42" s="34">
        <f>Entry!H43</f>
        <v>0</v>
      </c>
      <c r="H42" s="34">
        <f>Entry!I43</f>
        <v>0</v>
      </c>
      <c r="I42" s="44">
        <v>1</v>
      </c>
      <c r="J42" s="49">
        <f>Entry!$J$3</f>
        <v>1.9438</v>
      </c>
      <c r="K42" s="37">
        <f t="shared" si="0"/>
        <v>0</v>
      </c>
      <c r="L42" s="37" t="e">
        <f t="shared" si="1"/>
        <v>#DIV/0!</v>
      </c>
      <c r="M42" s="37"/>
      <c r="N42" s="37" t="e">
        <f t="shared" si="6"/>
        <v>#DIV/0!</v>
      </c>
      <c r="O42" s="37">
        <f t="shared" si="2"/>
        <v>0</v>
      </c>
      <c r="P42" s="37">
        <f t="shared" si="3"/>
        <v>0</v>
      </c>
      <c r="Q42" s="37">
        <f t="shared" si="4"/>
        <v>0</v>
      </c>
      <c r="R42" s="37"/>
      <c r="S42" s="38"/>
    </row>
    <row r="43" spans="1:21">
      <c r="A43">
        <f>Entry!B44</f>
        <v>0</v>
      </c>
      <c r="B43" s="1" t="s">
        <v>18</v>
      </c>
      <c r="C43" s="18">
        <f>Entry!C44</f>
        <v>0</v>
      </c>
      <c r="D43" s="41">
        <f>Entry!D44</f>
        <v>0</v>
      </c>
      <c r="E43" s="33">
        <v>100</v>
      </c>
      <c r="F43" s="33">
        <v>10</v>
      </c>
      <c r="G43" s="34">
        <f>Entry!H44</f>
        <v>0</v>
      </c>
      <c r="H43" s="34">
        <f>Entry!I44</f>
        <v>0</v>
      </c>
      <c r="I43" s="44">
        <v>1</v>
      </c>
      <c r="J43" s="49">
        <f>Entry!$J$3</f>
        <v>1.9438</v>
      </c>
      <c r="K43" s="37">
        <f t="shared" si="0"/>
        <v>0</v>
      </c>
      <c r="L43" s="37" t="e">
        <f t="shared" si="1"/>
        <v>#DIV/0!</v>
      </c>
      <c r="M43" s="37"/>
      <c r="N43" s="37" t="e">
        <f t="shared" si="6"/>
        <v>#DIV/0!</v>
      </c>
      <c r="O43" s="37">
        <f t="shared" si="2"/>
        <v>0</v>
      </c>
      <c r="P43" s="37">
        <f t="shared" si="3"/>
        <v>0</v>
      </c>
      <c r="Q43" s="37">
        <f t="shared" si="4"/>
        <v>0</v>
      </c>
      <c r="R43" s="37"/>
      <c r="S43" s="38"/>
    </row>
    <row r="44" spans="1:21">
      <c r="A44">
        <f>Entry!B45</f>
        <v>364</v>
      </c>
      <c r="B44" s="1" t="s">
        <v>18</v>
      </c>
      <c r="C44" s="18">
        <f>Entry!C45</f>
        <v>42408.700694444444</v>
      </c>
      <c r="D44" s="41">
        <f>Entry!D45</f>
        <v>3.0729166666666665</v>
      </c>
      <c r="E44" s="33">
        <v>100</v>
      </c>
      <c r="F44" s="33">
        <v>10</v>
      </c>
      <c r="G44" s="34">
        <f>Entry!H45</f>
        <v>2.19</v>
      </c>
      <c r="H44" s="34">
        <f>Entry!I45</f>
        <v>1.27</v>
      </c>
      <c r="I44" s="44">
        <v>1</v>
      </c>
      <c r="J44" s="49">
        <f>Entry!$J$3</f>
        <v>1.9438</v>
      </c>
      <c r="K44" s="37">
        <f t="shared" si="0"/>
        <v>0.219</v>
      </c>
      <c r="L44" s="37">
        <f t="shared" si="1"/>
        <v>1.7244094488188975</v>
      </c>
      <c r="M44" s="37"/>
      <c r="N44" s="37" t="e">
        <f t="shared" si="6"/>
        <v>#DIV/0!</v>
      </c>
      <c r="O44" s="37">
        <f t="shared" si="2"/>
        <v>0.17882960000000001</v>
      </c>
      <c r="P44" s="37">
        <f t="shared" si="3"/>
        <v>2.8534984000000055E-2</v>
      </c>
      <c r="Q44" s="37">
        <f t="shared" si="4"/>
        <v>0.20736458400000007</v>
      </c>
      <c r="R44" s="37"/>
      <c r="S44" s="38"/>
    </row>
    <row r="45" spans="1:21">
      <c r="A45">
        <f>Entry!B46</f>
        <v>365</v>
      </c>
      <c r="B45" s="1" t="s">
        <v>18</v>
      </c>
      <c r="C45" s="18">
        <f>Entry!C46</f>
        <v>42408.700694444444</v>
      </c>
      <c r="D45" s="41">
        <f>Entry!D46</f>
        <v>3.0729166666666665</v>
      </c>
      <c r="E45" s="33">
        <v>100</v>
      </c>
      <c r="F45" s="33">
        <v>10</v>
      </c>
      <c r="G45" s="34">
        <f>Entry!H46</f>
        <v>2.4300000000000002</v>
      </c>
      <c r="H45" s="34">
        <f>Entry!I46</f>
        <v>1.44</v>
      </c>
      <c r="I45" s="44">
        <v>1</v>
      </c>
      <c r="J45" s="49">
        <f>Entry!$J$3</f>
        <v>1.9438</v>
      </c>
      <c r="K45" s="37">
        <f t="shared" si="0"/>
        <v>0.24300000000000002</v>
      </c>
      <c r="L45" s="37">
        <f t="shared" si="1"/>
        <v>1.6875000000000002</v>
      </c>
      <c r="M45" s="37"/>
      <c r="N45" s="37" t="e">
        <f t="shared" si="6"/>
        <v>#DIV/0!</v>
      </c>
      <c r="O45" s="37">
        <f t="shared" si="2"/>
        <v>0.19243620000000006</v>
      </c>
      <c r="P45" s="37">
        <f t="shared" si="3"/>
        <v>4.2685847999999964E-2</v>
      </c>
      <c r="Q45" s="37">
        <f t="shared" si="4"/>
        <v>0.23512204800000003</v>
      </c>
      <c r="R45" s="37"/>
      <c r="S45" s="38"/>
    </row>
    <row r="46" spans="1:21">
      <c r="A46">
        <f>Entry!B47</f>
        <v>366</v>
      </c>
      <c r="B46" s="1" t="s">
        <v>18</v>
      </c>
      <c r="C46" s="18">
        <f>Entry!C47</f>
        <v>42408.700694444444</v>
      </c>
      <c r="D46" s="41">
        <f>Entry!D47</f>
        <v>3.0729166666666665</v>
      </c>
      <c r="E46" s="33">
        <v>100</v>
      </c>
      <c r="F46" s="33">
        <v>10</v>
      </c>
      <c r="G46" s="34">
        <f>Entry!H47</f>
        <v>2.73</v>
      </c>
      <c r="H46" s="34">
        <f>Entry!I47</f>
        <v>1.58</v>
      </c>
      <c r="I46" s="44">
        <v>1</v>
      </c>
      <c r="J46" s="49">
        <f>Entry!$J$3</f>
        <v>1.9438</v>
      </c>
      <c r="K46" s="37">
        <f t="shared" si="0"/>
        <v>0.27300000000000002</v>
      </c>
      <c r="L46" s="37">
        <f t="shared" si="1"/>
        <v>1.7278481012658227</v>
      </c>
      <c r="M46" s="37">
        <f t="shared" si="5"/>
        <v>0.24500000000000002</v>
      </c>
      <c r="N46" s="37">
        <f t="shared" si="6"/>
        <v>1.7132525166949069</v>
      </c>
      <c r="O46" s="37">
        <f t="shared" si="2"/>
        <v>0.22353699999999999</v>
      </c>
      <c r="P46" s="37">
        <f t="shared" si="3"/>
        <v>3.444413600000009E-2</v>
      </c>
      <c r="Q46" s="37">
        <f t="shared" si="4"/>
        <v>0.25798113600000006</v>
      </c>
      <c r="R46" s="37">
        <f t="shared" si="7"/>
        <v>0.19826760000000002</v>
      </c>
      <c r="S46" s="38">
        <f t="shared" si="8"/>
        <v>3.5221656000000039E-2</v>
      </c>
      <c r="T46">
        <f t="shared" si="9"/>
        <v>0.23348925600000006</v>
      </c>
      <c r="U46">
        <f t="shared" si="10"/>
        <v>2.2917064017015775E-2</v>
      </c>
    </row>
    <row r="47" spans="1:21">
      <c r="A47">
        <f>Entry!B48</f>
        <v>367</v>
      </c>
      <c r="B47" s="1" t="s">
        <v>18</v>
      </c>
      <c r="C47" s="18">
        <f>Entry!C48</f>
        <v>42408.720833333333</v>
      </c>
      <c r="D47" s="41">
        <f>Entry!D48</f>
        <v>3.0513888888888889</v>
      </c>
      <c r="E47" s="33">
        <v>100</v>
      </c>
      <c r="F47" s="33">
        <v>10</v>
      </c>
      <c r="G47" s="34">
        <f>Entry!H48</f>
        <v>6.32</v>
      </c>
      <c r="H47" s="34">
        <f>Entry!I48</f>
        <v>3.49</v>
      </c>
      <c r="I47" s="44">
        <v>1</v>
      </c>
      <c r="J47" s="49">
        <f>Entry!$J$3</f>
        <v>1.9438</v>
      </c>
      <c r="K47" s="37">
        <f t="shared" si="0"/>
        <v>0.63200000000000012</v>
      </c>
      <c r="L47" s="37">
        <f t="shared" si="1"/>
        <v>1.8108882521489971</v>
      </c>
      <c r="M47" s="37"/>
      <c r="N47" s="37">
        <f t="shared" si="6"/>
        <v>1.7420787844716068</v>
      </c>
      <c r="O47" s="37">
        <f t="shared" si="2"/>
        <v>0.55009540000000001</v>
      </c>
      <c r="P47" s="37">
        <f t="shared" si="3"/>
        <v>1.9749008000000068E-2</v>
      </c>
      <c r="Q47" s="37">
        <f t="shared" si="4"/>
        <v>0.56984440800000002</v>
      </c>
      <c r="R47" s="37"/>
      <c r="S47" s="38"/>
    </row>
    <row r="48" spans="1:21">
      <c r="A48">
        <f>Entry!B49</f>
        <v>368</v>
      </c>
      <c r="B48" s="1" t="s">
        <v>18</v>
      </c>
      <c r="C48" s="18">
        <f>Entry!C49</f>
        <v>42408.720833333333</v>
      </c>
      <c r="D48" s="41">
        <f>Entry!D49</f>
        <v>3.0513888888888889</v>
      </c>
      <c r="E48" s="33">
        <v>100</v>
      </c>
      <c r="F48" s="33">
        <v>10</v>
      </c>
      <c r="G48" s="34">
        <f>Entry!H49</f>
        <v>8.0399999999999991</v>
      </c>
      <c r="H48" s="34">
        <f>Entry!I49</f>
        <v>4.53</v>
      </c>
      <c r="I48" s="44">
        <v>1</v>
      </c>
      <c r="J48" s="49">
        <f>Entry!$J$3</f>
        <v>1.9438</v>
      </c>
      <c r="K48" s="37">
        <f t="shared" si="0"/>
        <v>0.80399999999999994</v>
      </c>
      <c r="L48" s="37">
        <f t="shared" si="1"/>
        <v>1.7748344370860925</v>
      </c>
      <c r="M48" s="37"/>
      <c r="N48" s="37">
        <f t="shared" si="6"/>
        <v>1.7711902635003041</v>
      </c>
      <c r="O48" s="37">
        <f t="shared" si="2"/>
        <v>0.68227379999999982</v>
      </c>
      <c r="P48" s="37">
        <f t="shared" si="3"/>
        <v>5.7380976000000243E-2</v>
      </c>
      <c r="Q48" s="37">
        <f t="shared" si="4"/>
        <v>0.73965477600000007</v>
      </c>
      <c r="R48" s="37"/>
      <c r="S48" s="38"/>
    </row>
    <row r="49" spans="1:21">
      <c r="A49">
        <f>Entry!B50</f>
        <v>369</v>
      </c>
      <c r="B49" s="1" t="s">
        <v>18</v>
      </c>
      <c r="C49" s="18">
        <f>Entry!C50</f>
        <v>42408.720833333333</v>
      </c>
      <c r="D49" s="41">
        <f>Entry!D50</f>
        <v>3.0513888888888889</v>
      </c>
      <c r="E49" s="33">
        <v>100</v>
      </c>
      <c r="F49" s="33">
        <v>10</v>
      </c>
      <c r="G49" s="34">
        <f>Entry!H50</f>
        <v>7.28</v>
      </c>
      <c r="H49" s="34">
        <f>Entry!I50</f>
        <v>3.97</v>
      </c>
      <c r="I49" s="44">
        <v>1</v>
      </c>
      <c r="J49" s="49">
        <f>Entry!$J$3</f>
        <v>1.9438</v>
      </c>
      <c r="K49" s="37">
        <f t="shared" si="0"/>
        <v>0.72800000000000009</v>
      </c>
      <c r="L49" s="37">
        <f t="shared" si="1"/>
        <v>1.8337531486146095</v>
      </c>
      <c r="M49" s="37">
        <f t="shared" si="5"/>
        <v>0.72133333333333338</v>
      </c>
      <c r="N49" s="37">
        <f t="shared" si="6"/>
        <v>1.8064919459498998</v>
      </c>
      <c r="O49" s="37">
        <f t="shared" si="2"/>
        <v>0.64339780000000002</v>
      </c>
      <c r="P49" s="37">
        <f t="shared" si="3"/>
        <v>4.8206240000001595E-3</v>
      </c>
      <c r="Q49" s="37">
        <f t="shared" si="4"/>
        <v>0.64821842400000018</v>
      </c>
      <c r="R49" s="37">
        <f t="shared" si="7"/>
        <v>0.62525566666666665</v>
      </c>
      <c r="S49" s="38">
        <f t="shared" si="8"/>
        <v>2.7316869333333493E-2</v>
      </c>
      <c r="T49">
        <f t="shared" si="9"/>
        <v>0.65257253600000009</v>
      </c>
      <c r="U49">
        <f t="shared" si="10"/>
        <v>6.7931105600110203E-2</v>
      </c>
    </row>
    <row r="50" spans="1:21">
      <c r="A50">
        <f>Entry!B51</f>
        <v>370</v>
      </c>
      <c r="B50" s="1" t="s">
        <v>18</v>
      </c>
      <c r="C50" s="18">
        <f>Entry!C51</f>
        <v>42408.731944444444</v>
      </c>
      <c r="D50" s="41">
        <f>Entry!D51</f>
        <v>3.0625</v>
      </c>
      <c r="E50" s="33">
        <v>100</v>
      </c>
      <c r="F50" s="33">
        <v>10</v>
      </c>
      <c r="G50" s="34">
        <f>Entry!H51</f>
        <v>3.68</v>
      </c>
      <c r="H50" s="34">
        <f>Entry!I51</f>
        <v>1.9</v>
      </c>
      <c r="I50" s="44">
        <v>1</v>
      </c>
      <c r="J50" s="49">
        <f>Entry!$J$3</f>
        <v>1.9438</v>
      </c>
      <c r="K50" s="37">
        <f t="shared" si="0"/>
        <v>0.36800000000000005</v>
      </c>
      <c r="L50" s="37">
        <f t="shared" si="1"/>
        <v>1.9368421052631581</v>
      </c>
      <c r="M50" s="37"/>
      <c r="N50" s="37">
        <f t="shared" si="6"/>
        <v>1.8484765636546203</v>
      </c>
      <c r="O50" s="37">
        <f t="shared" si="2"/>
        <v>0.34599640000000004</v>
      </c>
      <c r="P50" s="37">
        <f t="shared" si="3"/>
        <v>-3.5765920000000027E-2</v>
      </c>
      <c r="Q50" s="37">
        <f t="shared" si="4"/>
        <v>0.31023048000000003</v>
      </c>
      <c r="R50" s="37"/>
      <c r="S50" s="38"/>
    </row>
    <row r="51" spans="1:21">
      <c r="A51">
        <f>Entry!B52</f>
        <v>371</v>
      </c>
      <c r="B51" s="1" t="s">
        <v>18</v>
      </c>
      <c r="C51" s="18">
        <f>Entry!C52</f>
        <v>42408.731944444444</v>
      </c>
      <c r="D51" s="41">
        <f>Entry!D52</f>
        <v>3.0625</v>
      </c>
      <c r="E51" s="33">
        <v>100</v>
      </c>
      <c r="F51" s="33">
        <v>10</v>
      </c>
      <c r="G51" s="34">
        <f>Entry!H52</f>
        <v>3.95</v>
      </c>
      <c r="H51" s="34">
        <f>Entry!I52</f>
        <v>2.04</v>
      </c>
      <c r="I51" s="44">
        <v>1</v>
      </c>
      <c r="J51" s="49">
        <f>Entry!$J$3</f>
        <v>1.9438</v>
      </c>
      <c r="K51" s="37">
        <f t="shared" si="0"/>
        <v>0.39500000000000002</v>
      </c>
      <c r="L51" s="37">
        <f t="shared" si="1"/>
        <v>1.9362745098039216</v>
      </c>
      <c r="M51" s="37"/>
      <c r="N51" s="37">
        <f t="shared" si="6"/>
        <v>1.90228992122723</v>
      </c>
      <c r="O51" s="37">
        <f t="shared" si="2"/>
        <v>0.37126580000000003</v>
      </c>
      <c r="P51" s="37">
        <f t="shared" si="3"/>
        <v>-3.8176232000000032E-2</v>
      </c>
      <c r="Q51" s="37">
        <f t="shared" si="4"/>
        <v>0.333089568</v>
      </c>
      <c r="R51" s="37"/>
      <c r="S51" s="38"/>
    </row>
    <row r="52" spans="1:21">
      <c r="A52">
        <f>Entry!B53</f>
        <v>372</v>
      </c>
      <c r="B52" s="1" t="s">
        <v>18</v>
      </c>
      <c r="C52" s="18">
        <f>Entry!C53</f>
        <v>42408.731944444444</v>
      </c>
      <c r="D52" s="41">
        <f>Entry!D53</f>
        <v>3.0625</v>
      </c>
      <c r="E52" s="33">
        <v>100</v>
      </c>
      <c r="F52" s="33">
        <v>10</v>
      </c>
      <c r="G52" s="34">
        <f>Entry!H53</f>
        <v>3.87</v>
      </c>
      <c r="H52" s="34">
        <f>Entry!I53</f>
        <v>2.02</v>
      </c>
      <c r="I52" s="44">
        <v>1</v>
      </c>
      <c r="J52" s="49">
        <f>Entry!$J$3</f>
        <v>1.9438</v>
      </c>
      <c r="K52" s="37">
        <f t="shared" si="0"/>
        <v>0.38700000000000001</v>
      </c>
      <c r="L52" s="37">
        <f t="shared" si="1"/>
        <v>1.9158415841584158</v>
      </c>
      <c r="M52" s="37">
        <f t="shared" si="5"/>
        <v>0.38333333333333336</v>
      </c>
      <c r="N52" s="37">
        <f t="shared" si="6"/>
        <v>1.9296527330751652</v>
      </c>
      <c r="O52" s="37">
        <f t="shared" si="2"/>
        <v>0.35960300000000006</v>
      </c>
      <c r="P52" s="37">
        <f t="shared" si="3"/>
        <v>-2.9779016000000005E-2</v>
      </c>
      <c r="Q52" s="37">
        <f t="shared" si="4"/>
        <v>0.32982398400000007</v>
      </c>
      <c r="R52" s="37">
        <f t="shared" si="7"/>
        <v>0.35895506666666671</v>
      </c>
      <c r="S52" s="38">
        <f t="shared" si="8"/>
        <v>-3.4573722666666688E-2</v>
      </c>
      <c r="T52">
        <f t="shared" si="9"/>
        <v>0.32438134400000007</v>
      </c>
      <c r="U52">
        <f t="shared" si="10"/>
        <v>1.2647154118351421E-2</v>
      </c>
    </row>
    <row r="53" spans="1:21">
      <c r="A53">
        <f>Entry!B54</f>
        <v>373</v>
      </c>
      <c r="B53" s="1" t="s">
        <v>18</v>
      </c>
      <c r="C53" s="18">
        <f>Entry!C54</f>
        <v>42408.748611111114</v>
      </c>
      <c r="D53" s="41">
        <f>Entry!D54</f>
        <v>3.0791666666666671</v>
      </c>
      <c r="E53" s="33">
        <v>100</v>
      </c>
      <c r="F53" s="33">
        <v>10</v>
      </c>
      <c r="G53" s="34">
        <f>Entry!H54</f>
        <v>2.5499999999999998</v>
      </c>
      <c r="H53" s="34">
        <f>Entry!I54</f>
        <v>1.47</v>
      </c>
      <c r="I53" s="44">
        <v>1</v>
      </c>
      <c r="J53" s="49">
        <f>Entry!$J$3</f>
        <v>1.9438</v>
      </c>
      <c r="K53" s="37">
        <f t="shared" si="0"/>
        <v>0.255</v>
      </c>
      <c r="L53" s="37">
        <f t="shared" si="1"/>
        <v>1.7346938775510203</v>
      </c>
      <c r="M53" s="37"/>
      <c r="N53" s="37">
        <f t="shared" si="6"/>
        <v>1.8622699905044524</v>
      </c>
      <c r="O53" s="37">
        <f t="shared" si="2"/>
        <v>0.20993039999999996</v>
      </c>
      <c r="P53" s="37">
        <f t="shared" si="3"/>
        <v>3.0090024000000055E-2</v>
      </c>
      <c r="Q53" s="37">
        <f t="shared" si="4"/>
        <v>0.24002042400000001</v>
      </c>
      <c r="R53" s="37"/>
      <c r="S53" s="38"/>
    </row>
    <row r="54" spans="1:21">
      <c r="A54">
        <f>Entry!B55</f>
        <v>374</v>
      </c>
      <c r="B54" s="1" t="s">
        <v>18</v>
      </c>
      <c r="C54" s="18">
        <f>Entry!C55</f>
        <v>42408.748611111114</v>
      </c>
      <c r="D54" s="41">
        <f>Entry!D55</f>
        <v>3.0791666666666671</v>
      </c>
      <c r="E54" s="33">
        <v>100</v>
      </c>
      <c r="F54" s="33">
        <v>10</v>
      </c>
      <c r="G54" s="34">
        <f>Entry!H55</f>
        <v>2</v>
      </c>
      <c r="H54" s="34">
        <f>Entry!I55</f>
        <v>1.1399999999999999</v>
      </c>
      <c r="I54" s="44">
        <v>1</v>
      </c>
      <c r="J54" s="49">
        <f>Entry!$J$3</f>
        <v>1.9438</v>
      </c>
      <c r="K54" s="37">
        <f t="shared" si="0"/>
        <v>0.2</v>
      </c>
      <c r="L54" s="37">
        <f t="shared" si="1"/>
        <v>1.7543859649122808</v>
      </c>
      <c r="M54" s="37"/>
      <c r="N54" s="37">
        <f t="shared" si="6"/>
        <v>1.8016404755405724</v>
      </c>
      <c r="O54" s="37">
        <f t="shared" si="2"/>
        <v>0.16716680000000003</v>
      </c>
      <c r="P54" s="37">
        <f t="shared" si="3"/>
        <v>1.8971487999999981E-2</v>
      </c>
      <c r="Q54" s="37">
        <f t="shared" si="4"/>
        <v>0.18613828800000001</v>
      </c>
      <c r="R54" s="37"/>
      <c r="S54" s="38"/>
    </row>
    <row r="55" spans="1:21">
      <c r="A55">
        <f>Entry!B56</f>
        <v>375</v>
      </c>
      <c r="B55" s="1" t="s">
        <v>18</v>
      </c>
      <c r="C55" s="18">
        <f>Entry!C56</f>
        <v>42408.748611111114</v>
      </c>
      <c r="D55" s="41">
        <f>Entry!D56</f>
        <v>3.0791666666666671</v>
      </c>
      <c r="E55" s="33">
        <v>100</v>
      </c>
      <c r="F55" s="33">
        <v>10</v>
      </c>
      <c r="G55" s="34">
        <f>Entry!H56</f>
        <v>2.33</v>
      </c>
      <c r="H55" s="34">
        <f>Entry!I56</f>
        <v>1.36</v>
      </c>
      <c r="I55" s="44">
        <v>1</v>
      </c>
      <c r="J55" s="49">
        <f>Entry!$J$3</f>
        <v>1.9438</v>
      </c>
      <c r="K55" s="37">
        <f t="shared" si="0"/>
        <v>0.23300000000000001</v>
      </c>
      <c r="L55" s="37">
        <f t="shared" si="1"/>
        <v>1.713235294117647</v>
      </c>
      <c r="M55" s="37">
        <f t="shared" si="5"/>
        <v>0.22933333333333336</v>
      </c>
      <c r="N55" s="37">
        <f t="shared" si="6"/>
        <v>1.7341050455269826</v>
      </c>
      <c r="O55" s="37">
        <f t="shared" si="2"/>
        <v>0.18854860000000001</v>
      </c>
      <c r="P55" s="37">
        <f t="shared" si="3"/>
        <v>3.3511112000000023E-2</v>
      </c>
      <c r="Q55" s="37">
        <f t="shared" si="4"/>
        <v>0.22205971200000002</v>
      </c>
      <c r="R55" s="37">
        <f t="shared" si="7"/>
        <v>0.18854859999999998</v>
      </c>
      <c r="S55" s="38">
        <f t="shared" si="8"/>
        <v>2.7524208000000022E-2</v>
      </c>
      <c r="T55">
        <f t="shared" si="9"/>
        <v>0.21607280799999998</v>
      </c>
      <c r="U55">
        <f t="shared" si="10"/>
        <v>2.1381799999999965E-2</v>
      </c>
    </row>
    <row r="56" spans="1:21">
      <c r="A56">
        <f>Entry!B57</f>
        <v>376</v>
      </c>
      <c r="B56" s="1" t="s">
        <v>18</v>
      </c>
      <c r="C56" s="18">
        <f>Entry!C57</f>
        <v>42408.765277777777</v>
      </c>
      <c r="D56" s="41">
        <f>Entry!D57</f>
        <v>3.0958333333333332</v>
      </c>
      <c r="E56" s="33">
        <v>100</v>
      </c>
      <c r="F56" s="33">
        <v>10</v>
      </c>
      <c r="G56" s="34">
        <f>Entry!H57</f>
        <v>2.56</v>
      </c>
      <c r="H56" s="34">
        <f>Entry!I57</f>
        <v>1.5</v>
      </c>
      <c r="I56" s="44">
        <v>1</v>
      </c>
      <c r="J56" s="49">
        <f>Entry!$J$3</f>
        <v>1.9438</v>
      </c>
      <c r="K56" s="37">
        <f t="shared" si="0"/>
        <v>0.25600000000000001</v>
      </c>
      <c r="L56" s="37">
        <f t="shared" si="1"/>
        <v>1.7066666666666668</v>
      </c>
      <c r="M56" s="37"/>
      <c r="N56" s="37">
        <f t="shared" si="6"/>
        <v>1.7247626418988649</v>
      </c>
      <c r="O56" s="37">
        <f t="shared" si="2"/>
        <v>0.2060428</v>
      </c>
      <c r="P56" s="37">
        <f t="shared" si="3"/>
        <v>3.8876000000000036E-2</v>
      </c>
      <c r="Q56" s="37">
        <f t="shared" si="4"/>
        <v>0.24491880000000005</v>
      </c>
      <c r="R56" s="37"/>
      <c r="S56" s="38"/>
    </row>
    <row r="57" spans="1:21">
      <c r="A57">
        <f>Entry!B58</f>
        <v>377</v>
      </c>
      <c r="B57" s="1" t="s">
        <v>18</v>
      </c>
      <c r="C57" s="18">
        <f>Entry!C58</f>
        <v>42408.765277777777</v>
      </c>
      <c r="D57" s="41">
        <f>Entry!D58</f>
        <v>3.0958333333333332</v>
      </c>
      <c r="E57" s="33">
        <v>100</v>
      </c>
      <c r="F57" s="33">
        <v>10</v>
      </c>
      <c r="G57" s="34">
        <f>Entry!H58</f>
        <v>2.15</v>
      </c>
      <c r="H57" s="34">
        <f>Entry!I58</f>
        <v>1.24</v>
      </c>
      <c r="I57" s="44">
        <v>1</v>
      </c>
      <c r="J57" s="49">
        <f>Entry!$J$3</f>
        <v>1.9438</v>
      </c>
      <c r="K57" s="37">
        <f t="shared" si="0"/>
        <v>0.215</v>
      </c>
      <c r="L57" s="37">
        <f t="shared" si="1"/>
        <v>1.7338709677419355</v>
      </c>
      <c r="M57" s="37"/>
      <c r="N57" s="37">
        <f t="shared" si="6"/>
        <v>1.71792430950875</v>
      </c>
      <c r="O57" s="37">
        <f t="shared" si="2"/>
        <v>0.17688579999999998</v>
      </c>
      <c r="P57" s="37">
        <f t="shared" si="3"/>
        <v>2.5580408000000034E-2</v>
      </c>
      <c r="Q57" s="37">
        <f t="shared" si="4"/>
        <v>0.20246620800000001</v>
      </c>
      <c r="R57" s="37"/>
      <c r="S57" s="38"/>
    </row>
    <row r="58" spans="1:21">
      <c r="A58">
        <f>Entry!B59</f>
        <v>378</v>
      </c>
      <c r="B58" s="1" t="s">
        <v>18</v>
      </c>
      <c r="C58" s="18">
        <f>Entry!C59</f>
        <v>42408.765277777777</v>
      </c>
      <c r="D58" s="41">
        <f>Entry!D59</f>
        <v>3.0958333333333332</v>
      </c>
      <c r="E58" s="33">
        <v>100</v>
      </c>
      <c r="F58" s="33">
        <v>10</v>
      </c>
      <c r="G58" s="34">
        <f>Entry!H59</f>
        <v>2.16</v>
      </c>
      <c r="H58" s="34">
        <f>Entry!I59</f>
        <v>1.24</v>
      </c>
      <c r="I58" s="44">
        <v>1</v>
      </c>
      <c r="J58" s="49">
        <f>Entry!$J$3</f>
        <v>1.9438</v>
      </c>
      <c r="K58" s="37">
        <f t="shared" si="0"/>
        <v>0.21600000000000003</v>
      </c>
      <c r="L58" s="37">
        <f t="shared" si="1"/>
        <v>1.741935483870968</v>
      </c>
      <c r="M58" s="37">
        <f t="shared" si="5"/>
        <v>0.22900000000000001</v>
      </c>
      <c r="N58" s="37">
        <f t="shared" si="6"/>
        <v>1.7274910394265233</v>
      </c>
      <c r="O58" s="37">
        <f t="shared" si="2"/>
        <v>0.17882960000000003</v>
      </c>
      <c r="P58" s="37">
        <f t="shared" si="3"/>
        <v>2.363660799999999E-2</v>
      </c>
      <c r="Q58" s="37">
        <f t="shared" si="4"/>
        <v>0.20246620800000004</v>
      </c>
      <c r="R58" s="37">
        <f t="shared" si="7"/>
        <v>0.18725273333333334</v>
      </c>
      <c r="S58" s="38">
        <f t="shared" si="8"/>
        <v>2.9364338666666687E-2</v>
      </c>
      <c r="T58">
        <f t="shared" si="9"/>
        <v>0.21661707200000002</v>
      </c>
      <c r="U58">
        <f t="shared" si="10"/>
        <v>1.63016730311135E-2</v>
      </c>
    </row>
    <row r="59" spans="1:21">
      <c r="A59">
        <f>Entry!B60</f>
        <v>379</v>
      </c>
      <c r="B59" s="1" t="s">
        <v>18</v>
      </c>
      <c r="C59" s="18">
        <f>Entry!C60</f>
        <v>42408.78125</v>
      </c>
      <c r="D59" s="41">
        <f>Entry!D60</f>
        <v>3.1118055555555557</v>
      </c>
      <c r="E59" s="33">
        <v>100</v>
      </c>
      <c r="F59" s="33">
        <v>10</v>
      </c>
      <c r="G59" s="34">
        <f>Entry!H60</f>
        <v>3.09</v>
      </c>
      <c r="H59" s="34">
        <f>Entry!I60</f>
        <v>1.78</v>
      </c>
      <c r="I59" s="44">
        <v>1</v>
      </c>
      <c r="J59" s="49">
        <f>Entry!$J$3</f>
        <v>1.9438</v>
      </c>
      <c r="K59" s="37">
        <f t="shared" si="0"/>
        <v>0.309</v>
      </c>
      <c r="L59" s="37">
        <f t="shared" si="1"/>
        <v>1.7359550561797752</v>
      </c>
      <c r="M59" s="37">
        <f t="shared" si="5"/>
        <v>0.24666666666666667</v>
      </c>
      <c r="N59" s="37">
        <f t="shared" si="6"/>
        <v>1.7372538359308927</v>
      </c>
      <c r="O59" s="37">
        <f t="shared" si="2"/>
        <v>0.25463779999999997</v>
      </c>
      <c r="P59" s="37">
        <f t="shared" si="3"/>
        <v>3.5999176000000098E-2</v>
      </c>
      <c r="Q59" s="37">
        <f t="shared" si="4"/>
        <v>0.29063697600000005</v>
      </c>
      <c r="R59" s="37">
        <f t="shared" si="7"/>
        <v>0.20345106666666668</v>
      </c>
      <c r="S59" s="38">
        <f t="shared" si="8"/>
        <v>2.8405397333333374E-2</v>
      </c>
      <c r="T59">
        <f t="shared" si="9"/>
        <v>0.23185646400000004</v>
      </c>
      <c r="U59">
        <f t="shared" si="10"/>
        <v>4.4339664428289495E-2</v>
      </c>
    </row>
    <row r="60" spans="1:21">
      <c r="B60" s="2"/>
      <c r="C60" s="18"/>
      <c r="D60" s="41"/>
      <c r="E60" s="2"/>
      <c r="F60" s="33"/>
      <c r="H60" s="2"/>
      <c r="I60" s="2"/>
      <c r="J60" s="2"/>
      <c r="K60" s="32"/>
      <c r="L60" s="32"/>
      <c r="M60" s="32"/>
      <c r="N60" s="32"/>
      <c r="O60" s="32"/>
      <c r="P60" s="32"/>
      <c r="Q60" s="32"/>
      <c r="R60" s="38"/>
      <c r="S60" s="38"/>
      <c r="T60" s="38"/>
      <c r="U60" s="38"/>
    </row>
    <row r="61" spans="1:21">
      <c r="B61" s="2"/>
      <c r="C61" s="18"/>
      <c r="D61" s="41"/>
      <c r="E61" s="2"/>
      <c r="F61" s="33"/>
      <c r="H61" s="2"/>
      <c r="I61" s="2"/>
      <c r="J61" s="2"/>
      <c r="K61" s="32"/>
      <c r="L61" s="32"/>
      <c r="M61" s="32"/>
      <c r="N61" s="32"/>
      <c r="O61" s="32"/>
      <c r="P61" s="32"/>
      <c r="Q61" s="32"/>
      <c r="R61" s="38"/>
      <c r="S61" s="38"/>
      <c r="T61" s="38"/>
      <c r="U61" s="38"/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23" customWidth="1"/>
    <col min="2" max="2" width="9.1796875" style="24" customWidth="1"/>
    <col min="3" max="6" width="9.1796875" style="25" customWidth="1"/>
  </cols>
  <sheetData>
    <row r="1" spans="1:6">
      <c r="A1" s="23" t="s">
        <v>24</v>
      </c>
    </row>
    <row r="2" spans="1:6">
      <c r="A2" s="23" t="s">
        <v>25</v>
      </c>
    </row>
    <row r="3" spans="1:6">
      <c r="A3" s="23" t="s">
        <v>26</v>
      </c>
    </row>
    <row r="4" spans="1:6">
      <c r="A4" s="23" t="s">
        <v>27</v>
      </c>
    </row>
    <row r="5" spans="1:6">
      <c r="A5" s="23" t="s">
        <v>28</v>
      </c>
    </row>
    <row r="6" spans="1:6">
      <c r="A6" s="23" t="str">
        <f>CONCATENATE("/cruise=s",TEXT(Results!$C$2,"yymmdd"),"w")</f>
        <v>/cruise=s200205w</v>
      </c>
    </row>
    <row r="7" spans="1:6">
      <c r="A7" s="23" t="s">
        <v>29</v>
      </c>
    </row>
    <row r="8" spans="1:6">
      <c r="A8" s="25" t="e">
        <f>CONCATENATE("/east_longitude=",TEXT(MAX(Results!#REF!),"0.0000"),"[DEG]")</f>
        <v>#REF!</v>
      </c>
      <c r="F8"/>
    </row>
    <row r="9" spans="1:6">
      <c r="A9" s="25" t="e">
        <f>CONCATENATE("/west_longitude=",TEXT(MIN(Results!#REF!),"0.0000"),"[DEG]")</f>
        <v>#REF!</v>
      </c>
      <c r="F9"/>
    </row>
    <row r="10" spans="1:6">
      <c r="A10" s="25" t="e">
        <f>CONCATENATE("/north_latitude=",TEXT(MAX(Results!#REF!),"0.0000"),"[DEG]")</f>
        <v>#REF!</v>
      </c>
      <c r="F10"/>
    </row>
    <row r="11" spans="1:6">
      <c r="A11" s="25" t="e">
        <f>CONCATENATE("/south_latitude=",TEXT(MIN(Results!#REF!),"0.0000"),"[DEG]")</f>
        <v>#REF!</v>
      </c>
      <c r="F11"/>
    </row>
    <row r="12" spans="1:6">
      <c r="A12" s="25" t="str">
        <f>CONCATENATE("/start_date=",TEXT(MIN(Results!$C$2:$C$10),"yyyymmdd"))</f>
        <v>/start_date=20200205</v>
      </c>
      <c r="F12"/>
    </row>
    <row r="13" spans="1:6">
      <c r="A13" s="25" t="str">
        <f>CONCATENATE("/end_date=",TEXT(MAX(Results!$C$2:$C$10),"yyyymmdd"))</f>
        <v>/end_date=20200206</v>
      </c>
      <c r="F13"/>
    </row>
    <row r="14" spans="1:6">
      <c r="A14" s="25" t="str">
        <f>CONCATENATE("/start_time=",TEXT(MIN(Results!$D$2:$D$10)+4/24,"hh:mm:ss"),"[GMT]")</f>
        <v>/start_time=04:00:00[GMT]</v>
      </c>
      <c r="F14"/>
    </row>
    <row r="15" spans="1:6">
      <c r="A15" s="25" t="str">
        <f>CONCATENATE("/end_time=",TEXT(MAX(Results!$D$2:$D$10)+4/24,"hh:mm:ss"),"[GMT]")</f>
        <v>/end_time=01:24:00[GMT]</v>
      </c>
      <c r="F15"/>
    </row>
    <row r="16" spans="1:6">
      <c r="A16" s="23" t="s">
        <v>30</v>
      </c>
      <c r="F16"/>
    </row>
    <row r="17" spans="1:6">
      <c r="A17" s="23" t="s">
        <v>31</v>
      </c>
    </row>
    <row r="18" spans="1:6">
      <c r="A18" s="23" t="s">
        <v>32</v>
      </c>
    </row>
    <row r="19" spans="1:6">
      <c r="A19" s="23" t="s">
        <v>33</v>
      </c>
    </row>
    <row r="20" spans="1:6">
      <c r="A20" s="25" t="str">
        <f>CONCATENATE("/data_file_name=chl-s",TEXT($A$32,"yymmdd"),"w.xls")</f>
        <v>/data_file_name=chl-s200205w.xls</v>
      </c>
    </row>
    <row r="21" spans="1:6">
      <c r="A21" s="23" t="s">
        <v>34</v>
      </c>
    </row>
    <row r="22" spans="1:6">
      <c r="A22" s="23" t="s">
        <v>35</v>
      </c>
    </row>
    <row r="23" spans="1:6">
      <c r="A23" s="23" t="s">
        <v>36</v>
      </c>
    </row>
    <row r="24" spans="1:6">
      <c r="A24" s="23" t="s">
        <v>37</v>
      </c>
    </row>
    <row r="25" spans="1:6">
      <c r="A25" s="23" t="s">
        <v>38</v>
      </c>
    </row>
    <row r="26" spans="1:6">
      <c r="A26" s="23" t="s">
        <v>39</v>
      </c>
    </row>
    <row r="27" spans="1:6">
      <c r="A27" s="23" t="s">
        <v>40</v>
      </c>
    </row>
    <row r="28" spans="1:6">
      <c r="A28" s="23" t="s">
        <v>41</v>
      </c>
    </row>
    <row r="29" spans="1:6">
      <c r="A29" s="23" t="s">
        <v>42</v>
      </c>
    </row>
    <row r="30" spans="1:6">
      <c r="A30" s="23" t="s">
        <v>43</v>
      </c>
    </row>
    <row r="31" spans="1:6">
      <c r="A31" s="23" t="s">
        <v>44</v>
      </c>
    </row>
    <row r="32" spans="1:6">
      <c r="A32" s="23">
        <f>Results!C2</f>
        <v>42404.798611111109</v>
      </c>
      <c r="B32" s="24">
        <f>Results!D2+4/24</f>
        <v>0.16666666666666666</v>
      </c>
      <c r="C32" s="25" t="e">
        <f>Results!#REF!</f>
        <v>#REF!</v>
      </c>
      <c r="D32" s="25" t="e">
        <f>Results!#REF!</f>
        <v>#REF!</v>
      </c>
      <c r="E32" s="25">
        <f>Results!K2</f>
        <v>0.14750000000000002</v>
      </c>
      <c r="F32" s="25" t="str">
        <f>LEFT(Results!A2,LEN(Results!A2)-1)</f>
        <v>24</v>
      </c>
    </row>
    <row r="33" spans="1:6">
      <c r="A33" s="23" t="e">
        <f>Results!#REF!</f>
        <v>#REF!</v>
      </c>
      <c r="B33" s="24" t="e">
        <f>Results!#REF!+4/24</f>
        <v>#REF!</v>
      </c>
      <c r="C33" s="25" t="e">
        <f>Results!#REF!</f>
        <v>#REF!</v>
      </c>
      <c r="D33" s="25" t="e">
        <f>Results!#REF!</f>
        <v>#REF!</v>
      </c>
      <c r="E33" s="25" t="e">
        <f>Results!#REF!</f>
        <v>#REF!</v>
      </c>
      <c r="F33" s="25" t="e">
        <f>LEFT(Results!#REF!,LEN(Results!#REF!)-1)</f>
        <v>#REF!</v>
      </c>
    </row>
    <row r="34" spans="1:6">
      <c r="A34" s="23" t="e">
        <f>Results!#REF!</f>
        <v>#REF!</v>
      </c>
      <c r="B34" s="24" t="e">
        <f>Results!#REF!+4/24</f>
        <v>#REF!</v>
      </c>
      <c r="C34" s="25" t="e">
        <f>Results!#REF!</f>
        <v>#REF!</v>
      </c>
      <c r="D34" s="25" t="e">
        <f>Results!#REF!</f>
        <v>#REF!</v>
      </c>
      <c r="E34" s="25" t="e">
        <f>Results!#REF!</f>
        <v>#REF!</v>
      </c>
      <c r="F34" s="25" t="e">
        <f>LEFT(Results!#REF!,LEN(Results!#REF!)-1)</f>
        <v>#REF!</v>
      </c>
    </row>
    <row r="35" spans="1:6">
      <c r="A35" s="23">
        <f>Results!C3</f>
        <v>42404.798611111109</v>
      </c>
      <c r="B35" s="24">
        <f>Results!D3+4/24</f>
        <v>0.16666666666666666</v>
      </c>
      <c r="C35" s="25" t="e">
        <f>Results!#REF!</f>
        <v>#REF!</v>
      </c>
      <c r="D35" s="25" t="e">
        <f>Results!#REF!</f>
        <v>#REF!</v>
      </c>
      <c r="E35" s="25">
        <f>Results!M3</f>
        <v>0</v>
      </c>
      <c r="F35" s="25" t="str">
        <f>LEFT(Results!A3,LEN(Results!A3)-1)</f>
        <v>24</v>
      </c>
    </row>
    <row r="36" spans="1:6">
      <c r="A36" s="23" t="e">
        <f>Results!#REF!</f>
        <v>#REF!</v>
      </c>
      <c r="B36" s="24" t="e">
        <f>Results!#REF!+4/24</f>
        <v>#REF!</v>
      </c>
      <c r="C36" s="25" t="e">
        <f>Results!#REF!</f>
        <v>#REF!</v>
      </c>
      <c r="D36" s="25" t="e">
        <f>Results!#REF!</f>
        <v>#REF!</v>
      </c>
      <c r="E36" s="25" t="e">
        <f>Results!#REF!</f>
        <v>#REF!</v>
      </c>
      <c r="F36" s="25" t="e">
        <f>LEFT(Results!#REF!,LEN(Results!#REF!)-1)</f>
        <v>#REF!</v>
      </c>
    </row>
    <row r="37" spans="1:6">
      <c r="A37" s="23" t="e">
        <f>Results!#REF!</f>
        <v>#REF!</v>
      </c>
      <c r="B37" s="24" t="e">
        <f>Results!#REF!+4/24</f>
        <v>#REF!</v>
      </c>
      <c r="C37" s="25" t="e">
        <f>Results!#REF!</f>
        <v>#REF!</v>
      </c>
      <c r="D37" s="25" t="e">
        <f>Results!#REF!</f>
        <v>#REF!</v>
      </c>
      <c r="E37" s="25" t="e">
        <f>Results!#REF!</f>
        <v>#REF!</v>
      </c>
      <c r="F37" s="25" t="e">
        <f>LEFT(Results!#REF!,LEN(Results!#REF!)-1)</f>
        <v>#REF!</v>
      </c>
    </row>
    <row r="38" spans="1:6">
      <c r="A38" s="23">
        <f>Results!C4</f>
        <v>42404.798611111109</v>
      </c>
      <c r="B38" s="24">
        <f>Results!D4+4/24</f>
        <v>0.16666666666666666</v>
      </c>
      <c r="C38" s="25" t="e">
        <f>Results!#REF!</f>
        <v>#REF!</v>
      </c>
      <c r="D38" s="25" t="e">
        <f>Results!#REF!</f>
        <v>#REF!</v>
      </c>
      <c r="E38" s="25">
        <f>Results!M4</f>
        <v>0.11176666666666668</v>
      </c>
      <c r="F38" s="25" t="str">
        <f>LEFT(Results!A4,LEN(Results!A4)-1)</f>
        <v>24</v>
      </c>
    </row>
    <row r="39" spans="1:6">
      <c r="A39" s="23" t="e">
        <f>Results!#REF!</f>
        <v>#REF!</v>
      </c>
      <c r="B39" s="24" t="e">
        <f>Results!#REF!+4/24</f>
        <v>#REF!</v>
      </c>
      <c r="C39" s="25" t="e">
        <f>Results!#REF!</f>
        <v>#REF!</v>
      </c>
      <c r="D39" s="25" t="e">
        <f>Results!#REF!</f>
        <v>#REF!</v>
      </c>
      <c r="E39" s="25" t="e">
        <f>Results!#REF!</f>
        <v>#REF!</v>
      </c>
      <c r="F39" s="25" t="e">
        <f>LEFT(Results!#REF!,LEN(Results!#REF!)-1)</f>
        <v>#REF!</v>
      </c>
    </row>
    <row r="40" spans="1:6">
      <c r="A40" s="23" t="e">
        <f>Results!#REF!</f>
        <v>#REF!</v>
      </c>
      <c r="B40" s="24" t="e">
        <f>Results!#REF!+4/24</f>
        <v>#REF!</v>
      </c>
      <c r="C40" s="25" t="e">
        <f>Results!#REF!</f>
        <v>#REF!</v>
      </c>
      <c r="D40" s="25" t="e">
        <f>Results!#REF!</f>
        <v>#REF!</v>
      </c>
      <c r="E40" s="25" t="e">
        <f>Results!#REF!</f>
        <v>#REF!</v>
      </c>
      <c r="F40" s="25" t="e">
        <f>LEFT(Results!#REF!,LEN(Results!#REF!)-1)</f>
        <v>#REF!</v>
      </c>
    </row>
    <row r="41" spans="1:6">
      <c r="A41" s="23">
        <f>Results!C5</f>
        <v>42404.798611111109</v>
      </c>
      <c r="B41" s="24">
        <f>Results!D5+4/24</f>
        <v>0.16666666666666666</v>
      </c>
      <c r="C41" s="25" t="e">
        <f>Results!#REF!</f>
        <v>#REF!</v>
      </c>
      <c r="D41" s="25" t="e">
        <f>Results!#REF!</f>
        <v>#REF!</v>
      </c>
      <c r="E41" s="25">
        <f>Results!O5</f>
        <v>0.10593710000000001</v>
      </c>
      <c r="F41" s="25" t="str">
        <f>LEFT(Results!A5,LEN(Results!A5)-1)</f>
        <v>25</v>
      </c>
    </row>
    <row r="42" spans="1:6">
      <c r="A42" s="23" t="e">
        <f>Results!#REF!</f>
        <v>#REF!</v>
      </c>
      <c r="B42" s="24" t="e">
        <f>Results!#REF!+4/24</f>
        <v>#REF!</v>
      </c>
      <c r="C42" s="25" t="e">
        <f>Results!#REF!</f>
        <v>#REF!</v>
      </c>
      <c r="D42" s="25" t="e">
        <f>Results!#REF!</f>
        <v>#REF!</v>
      </c>
      <c r="E42" s="25" t="e">
        <f>Results!#REF!</f>
        <v>#REF!</v>
      </c>
      <c r="F42" s="25" t="e">
        <f>LEFT(Results!#REF!,LEN(Results!#REF!)-1)</f>
        <v>#REF!</v>
      </c>
    </row>
    <row r="43" spans="1:6">
      <c r="A43" s="23" t="e">
        <f>Results!#REF!</f>
        <v>#REF!</v>
      </c>
      <c r="B43" s="24" t="e">
        <f>Results!#REF!+4/24</f>
        <v>#REF!</v>
      </c>
      <c r="C43" s="25" t="e">
        <f>Results!#REF!</f>
        <v>#REF!</v>
      </c>
      <c r="D43" s="25" t="e">
        <f>Results!#REF!</f>
        <v>#REF!</v>
      </c>
      <c r="E43" s="25" t="e">
        <f>Results!#REF!</f>
        <v>#REF!</v>
      </c>
      <c r="F43" s="25" t="e">
        <f>LEFT(Results!#REF!,LEN(Results!#REF!)-1)</f>
        <v>#REF!</v>
      </c>
    </row>
    <row r="44" spans="1:6">
      <c r="A44" s="23">
        <f>Results!C6</f>
        <v>42404.798611111109</v>
      </c>
      <c r="B44" s="24">
        <f>Results!D6+4/24</f>
        <v>0.16666666666666666</v>
      </c>
      <c r="C44" s="25" t="e">
        <f>Results!#REF!</f>
        <v>#REF!</v>
      </c>
      <c r="D44" s="25" t="e">
        <f>Results!#REF!</f>
        <v>#REF!</v>
      </c>
      <c r="E44" s="25">
        <f>Results!O6</f>
        <v>9.2136120000000016E-2</v>
      </c>
      <c r="F44" s="25" t="str">
        <f>LEFT(Results!A6,LEN(Results!A6)-1)</f>
        <v>25</v>
      </c>
    </row>
    <row r="45" spans="1:6">
      <c r="A45" s="23" t="e">
        <f>Results!#REF!</f>
        <v>#REF!</v>
      </c>
      <c r="B45" s="24" t="e">
        <f>Results!#REF!+4/24</f>
        <v>#REF!</v>
      </c>
      <c r="C45" s="25" t="e">
        <f>Results!#REF!</f>
        <v>#REF!</v>
      </c>
      <c r="D45" s="25" t="e">
        <f>Results!#REF!</f>
        <v>#REF!</v>
      </c>
      <c r="E45" s="25" t="e">
        <f>Results!#REF!</f>
        <v>#REF!</v>
      </c>
      <c r="F45" s="25" t="e">
        <f>LEFT(Results!#REF!,LEN(Results!#REF!)-1)</f>
        <v>#REF!</v>
      </c>
    </row>
    <row r="46" spans="1:6">
      <c r="A46" s="23" t="e">
        <f>Results!#REF!</f>
        <v>#REF!</v>
      </c>
      <c r="B46" s="24" t="e">
        <f>Results!#REF!+4/24</f>
        <v>#REF!</v>
      </c>
      <c r="C46" s="25" t="e">
        <f>Results!#REF!</f>
        <v>#REF!</v>
      </c>
      <c r="D46" s="25" t="e">
        <f>Results!#REF!</f>
        <v>#REF!</v>
      </c>
      <c r="E46" s="25" t="e">
        <f>Results!#REF!</f>
        <v>#REF!</v>
      </c>
      <c r="F46" s="25" t="e">
        <f>LEFT(Results!#REF!,LEN(Results!#REF!)-1)</f>
        <v>#REF!</v>
      </c>
    </row>
    <row r="47" spans="1:6">
      <c r="A47" s="23">
        <f>Results!C7</f>
        <v>42404.798611111109</v>
      </c>
      <c r="B47" s="24">
        <f>Results!D7+4/24</f>
        <v>0.16666666666666666</v>
      </c>
      <c r="C47" s="25" t="e">
        <f>Results!#REF!</f>
        <v>#REF!</v>
      </c>
      <c r="D47" s="25" t="e">
        <f>Results!#REF!</f>
        <v>#REF!</v>
      </c>
      <c r="E47" s="25">
        <f>Results!O7</f>
        <v>9.9911320000000026E-2</v>
      </c>
      <c r="F47" s="25" t="str">
        <f>LEFT(Results!A7,LEN(Results!A7)-1)</f>
        <v>25</v>
      </c>
    </row>
    <row r="48" spans="1:6">
      <c r="A48" s="23" t="e">
        <f>Results!#REF!</f>
        <v>#REF!</v>
      </c>
      <c r="B48" s="24" t="e">
        <f>Results!#REF!+4/24</f>
        <v>#REF!</v>
      </c>
      <c r="C48" s="25" t="e">
        <f>Results!#REF!</f>
        <v>#REF!</v>
      </c>
      <c r="D48" s="25" t="e">
        <f>Results!#REF!</f>
        <v>#REF!</v>
      </c>
      <c r="E48" s="25" t="e">
        <f>Results!#REF!</f>
        <v>#REF!</v>
      </c>
      <c r="F48" s="25" t="e">
        <f>LEFT(Results!#REF!,LEN(Results!#REF!)-1)</f>
        <v>#REF!</v>
      </c>
    </row>
    <row r="49" spans="1:6">
      <c r="A49" s="23" t="e">
        <f>Results!#REF!</f>
        <v>#REF!</v>
      </c>
      <c r="B49" s="24" t="e">
        <f>Results!#REF!+4/24</f>
        <v>#REF!</v>
      </c>
      <c r="C49" s="25" t="e">
        <f>Results!#REF!</f>
        <v>#REF!</v>
      </c>
      <c r="D49" s="25" t="e">
        <f>Results!#REF!</f>
        <v>#REF!</v>
      </c>
      <c r="E49" s="25" t="e">
        <f>Results!#REF!</f>
        <v>#REF!</v>
      </c>
      <c r="F49" s="25" t="e">
        <f>LEFT(Results!#REF!,LEN(Results!#REF!)-1)</f>
        <v>#REF!</v>
      </c>
    </row>
    <row r="50" spans="1:6">
      <c r="A50" s="23">
        <f>Results!C8</f>
        <v>42405.69027777778</v>
      </c>
      <c r="B50" s="24">
        <f>Results!D8+4/24</f>
        <v>1.0583333333333333</v>
      </c>
      <c r="C50" s="25" t="e">
        <f>Results!#REF!</f>
        <v>#REF!</v>
      </c>
      <c r="D50" s="25" t="e">
        <f>Results!#REF!</f>
        <v>#REF!</v>
      </c>
      <c r="E50" s="25">
        <f>Results!O8</f>
        <v>0.17494199999999999</v>
      </c>
      <c r="F50" s="25" t="str">
        <f>LEFT(Results!A8,LEN(Results!A8)-1)</f>
        <v>27</v>
      </c>
    </row>
    <row r="51" spans="1:6">
      <c r="A51" s="23" t="e">
        <f>Results!#REF!</f>
        <v>#REF!</v>
      </c>
      <c r="B51" s="24" t="e">
        <f>Results!#REF!+4/24</f>
        <v>#REF!</v>
      </c>
      <c r="C51" s="25" t="e">
        <f>Results!#REF!</f>
        <v>#REF!</v>
      </c>
      <c r="D51" s="25" t="e">
        <f>Results!#REF!</f>
        <v>#REF!</v>
      </c>
      <c r="E51" s="25" t="e">
        <f>Results!#REF!</f>
        <v>#REF!</v>
      </c>
      <c r="F51" s="25" t="e">
        <f>LEFT(Results!#REF!,LEN(Results!#REF!)-1)</f>
        <v>#REF!</v>
      </c>
    </row>
    <row r="52" spans="1:6">
      <c r="A52" s="23" t="e">
        <f>Results!#REF!</f>
        <v>#REF!</v>
      </c>
      <c r="B52" s="24" t="e">
        <f>Results!#REF!+4/24</f>
        <v>#REF!</v>
      </c>
      <c r="C52" s="25" t="e">
        <f>Results!#REF!</f>
        <v>#REF!</v>
      </c>
      <c r="D52" s="25" t="e">
        <f>Results!#REF!</f>
        <v>#REF!</v>
      </c>
      <c r="E52" s="25" t="e">
        <f>Results!#REF!</f>
        <v>#REF!</v>
      </c>
      <c r="F52" s="25" t="e">
        <f>LEFT(Results!#REF!,LEN(Results!#REF!)-1)</f>
        <v>#REF!</v>
      </c>
    </row>
    <row r="53" spans="1:6">
      <c r="A53" s="23">
        <f>Results!C9</f>
        <v>42405.69027777778</v>
      </c>
      <c r="B53" s="24">
        <f>Results!D9+4/24</f>
        <v>1.0583333333333333</v>
      </c>
      <c r="C53" s="25" t="e">
        <f>Results!#REF!</f>
        <v>#REF!</v>
      </c>
      <c r="D53" s="25" t="e">
        <f>Results!#REF!</f>
        <v>#REF!</v>
      </c>
      <c r="E53" s="25">
        <f>Results!O9</f>
        <v>0.15161640000000001</v>
      </c>
      <c r="F53" s="25" t="str">
        <f>LEFT(Results!A9,LEN(Results!A9)-1)</f>
        <v>27</v>
      </c>
    </row>
    <row r="54" spans="1:6">
      <c r="A54" s="23" t="e">
        <f>Results!#REF!</f>
        <v>#REF!</v>
      </c>
      <c r="B54" s="24" t="e">
        <f>Results!#REF!+4/24</f>
        <v>#REF!</v>
      </c>
      <c r="C54" s="25" t="e">
        <f>Results!#REF!</f>
        <v>#REF!</v>
      </c>
      <c r="D54" s="25" t="e">
        <f>Results!#REF!</f>
        <v>#REF!</v>
      </c>
      <c r="E54" s="25" t="e">
        <f>Results!#REF!</f>
        <v>#REF!</v>
      </c>
      <c r="F54" s="25" t="e">
        <f>LEFT(Results!#REF!,LEN(Results!#REF!)-1)</f>
        <v>#REF!</v>
      </c>
    </row>
    <row r="55" spans="1:6">
      <c r="A55" s="23" t="e">
        <f>Results!#REF!</f>
        <v>#REF!</v>
      </c>
      <c r="B55" s="24" t="e">
        <f>Results!#REF!+4/24</f>
        <v>#REF!</v>
      </c>
      <c r="C55" s="25" t="e">
        <f>Results!#REF!</f>
        <v>#REF!</v>
      </c>
      <c r="D55" s="25" t="e">
        <f>Results!#REF!</f>
        <v>#REF!</v>
      </c>
      <c r="E55" s="25" t="e">
        <f>Results!#REF!</f>
        <v>#REF!</v>
      </c>
      <c r="F55" s="25" t="e">
        <f>LEFT(Results!#REF!,LEN(Results!#REF!)-1)</f>
        <v>#REF!</v>
      </c>
    </row>
    <row r="56" spans="1:6">
      <c r="A56" s="23">
        <f>Results!C10</f>
        <v>42405.69027777778</v>
      </c>
      <c r="B56" s="24">
        <f>Results!D10+4/24</f>
        <v>1.0583333333333333</v>
      </c>
      <c r="C56" s="25" t="e">
        <f>Results!#REF!</f>
        <v>#REF!</v>
      </c>
      <c r="D56" s="25" t="e">
        <f>Results!#REF!</f>
        <v>#REF!</v>
      </c>
      <c r="E56" s="25">
        <f>Results!O10</f>
        <v>0.15744780000000003</v>
      </c>
      <c r="F56" s="25" t="str">
        <f>LEFT(Results!A10,LEN(Results!A10)-1)</f>
        <v>27</v>
      </c>
    </row>
    <row r="57" spans="1:6">
      <c r="A57" s="23" t="e">
        <f>Results!#REF!</f>
        <v>#REF!</v>
      </c>
      <c r="B57" s="24" t="e">
        <f>Results!#REF!+4/24</f>
        <v>#REF!</v>
      </c>
      <c r="C57" s="25" t="e">
        <f>Results!#REF!</f>
        <v>#REF!</v>
      </c>
      <c r="D57" s="25" t="e">
        <f>Results!#REF!</f>
        <v>#REF!</v>
      </c>
      <c r="E57" s="25" t="e">
        <f>Results!#REF!</f>
        <v>#REF!</v>
      </c>
      <c r="F57" s="25" t="e">
        <f>LEFT(Results!#REF!,LEN(Results!#REF!)-1)</f>
        <v>#REF!</v>
      </c>
    </row>
    <row r="58" spans="1:6">
      <c r="A58" s="23" t="e">
        <f>Results!#REF!</f>
        <v>#REF!</v>
      </c>
      <c r="B58" s="24" t="e">
        <f>Results!#REF!+4/24</f>
        <v>#REF!</v>
      </c>
      <c r="C58" s="25" t="e">
        <f>Results!#REF!</f>
        <v>#REF!</v>
      </c>
      <c r="D58" s="25" t="e">
        <f>Results!#REF!</f>
        <v>#REF!</v>
      </c>
      <c r="E58" s="25" t="e">
        <f>Results!#REF!</f>
        <v>#REF!</v>
      </c>
      <c r="F58" s="25" t="e">
        <f>LEFT(Results!#REF!,LEN(Results!#REF!)-1)</f>
        <v>#REF!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C9"/>
    </sheetView>
  </sheetViews>
  <sheetFormatPr defaultRowHeight="12.5"/>
  <cols>
    <col min="2" max="3" width="9.1796875" style="27" customWidth="1"/>
  </cols>
  <sheetData>
    <row r="1" spans="1:3">
      <c r="A1">
        <f>Entry!B3</f>
        <v>247</v>
      </c>
      <c r="B1" s="27" t="e">
        <f>Entry!#REF!</f>
        <v>#REF!</v>
      </c>
      <c r="C1" s="27" t="e">
        <f>Entry!#REF!</f>
        <v>#REF!</v>
      </c>
    </row>
    <row r="2" spans="1:3">
      <c r="A2">
        <f>Entry!B4</f>
        <v>248</v>
      </c>
      <c r="B2" s="27" t="e">
        <f>Entry!#REF!</f>
        <v>#REF!</v>
      </c>
      <c r="C2" s="27" t="e">
        <f>Entry!#REF!</f>
        <v>#REF!</v>
      </c>
    </row>
    <row r="3" spans="1:3">
      <c r="A3">
        <f>Entry!B5</f>
        <v>249</v>
      </c>
      <c r="B3" s="27" t="e">
        <f>Entry!#REF!</f>
        <v>#REF!</v>
      </c>
      <c r="C3" s="27" t="e">
        <f>Entry!#REF!</f>
        <v>#REF!</v>
      </c>
    </row>
    <row r="4" spans="1:3">
      <c r="A4">
        <f>Entry!B6</f>
        <v>250</v>
      </c>
      <c r="B4" s="27" t="e">
        <f>Entry!#REF!</f>
        <v>#REF!</v>
      </c>
      <c r="C4" s="27" t="e">
        <f>Entry!#REF!</f>
        <v>#REF!</v>
      </c>
    </row>
    <row r="5" spans="1:3">
      <c r="A5">
        <f>Entry!B7</f>
        <v>251</v>
      </c>
      <c r="B5" s="27" t="e">
        <f>Entry!#REF!</f>
        <v>#REF!</v>
      </c>
      <c r="C5" s="27" t="e">
        <f>Entry!#REF!</f>
        <v>#REF!</v>
      </c>
    </row>
    <row r="6" spans="1:3">
      <c r="A6">
        <f>Entry!B8</f>
        <v>252</v>
      </c>
      <c r="B6" s="27" t="e">
        <f>Entry!#REF!</f>
        <v>#REF!</v>
      </c>
      <c r="C6" s="27" t="e">
        <f>Entry!#REF!</f>
        <v>#REF!</v>
      </c>
    </row>
    <row r="7" spans="1:3">
      <c r="A7">
        <f>Entry!B9</f>
        <v>270</v>
      </c>
      <c r="B7" s="27" t="e">
        <f>Entry!#REF!</f>
        <v>#REF!</v>
      </c>
      <c r="C7" s="27" t="e">
        <f>Entry!#REF!</f>
        <v>#REF!</v>
      </c>
    </row>
    <row r="8" spans="1:3">
      <c r="A8">
        <f>Entry!B10</f>
        <v>271</v>
      </c>
      <c r="B8" s="27" t="e">
        <f>Entry!#REF!</f>
        <v>#REF!</v>
      </c>
      <c r="C8" s="27" t="e">
        <f>Entry!#REF!</f>
        <v>#REF!</v>
      </c>
    </row>
    <row r="9" spans="1:3">
      <c r="A9">
        <f>Entry!B11</f>
        <v>272</v>
      </c>
      <c r="B9" s="27" t="e">
        <f>Entry!#REF!</f>
        <v>#REF!</v>
      </c>
      <c r="C9" s="27" t="e">
        <f>Entry!#REF!</f>
        <v>#REF!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topLeftCell="B1" workbookViewId="0">
      <selection activeCell="B1" sqref="A1:XFD1048576"/>
    </sheetView>
  </sheetViews>
  <sheetFormatPr defaultRowHeight="12.5"/>
  <cols>
    <col min="26" max="31" width="8.81640625" bestFit="1" customWidth="1"/>
  </cols>
  <sheetData>
    <row r="1" spans="1:31">
      <c r="A1" t="s">
        <v>77</v>
      </c>
      <c r="B1" t="s">
        <v>72</v>
      </c>
      <c r="C1" t="s">
        <v>78</v>
      </c>
      <c r="D1" t="s">
        <v>79</v>
      </c>
      <c r="E1" t="s">
        <v>80</v>
      </c>
      <c r="F1" t="s">
        <v>13</v>
      </c>
      <c r="G1" t="s">
        <v>81</v>
      </c>
      <c r="H1" t="s">
        <v>82</v>
      </c>
      <c r="I1" t="s">
        <v>83</v>
      </c>
      <c r="J1" t="s">
        <v>84</v>
      </c>
      <c r="L1" t="s">
        <v>85</v>
      </c>
      <c r="M1" t="s">
        <v>86</v>
      </c>
      <c r="N1" t="s">
        <v>87</v>
      </c>
      <c r="O1" t="s">
        <v>88</v>
      </c>
      <c r="P1" t="s">
        <v>89</v>
      </c>
      <c r="Q1" t="s">
        <v>90</v>
      </c>
      <c r="R1" t="s">
        <v>91</v>
      </c>
      <c r="S1" t="s">
        <v>92</v>
      </c>
      <c r="T1" t="s">
        <v>93</v>
      </c>
      <c r="U1" t="s">
        <v>94</v>
      </c>
      <c r="V1" t="s">
        <v>95</v>
      </c>
      <c r="W1" t="s">
        <v>96</v>
      </c>
      <c r="X1" t="s">
        <v>97</v>
      </c>
      <c r="Y1" t="s">
        <v>98</v>
      </c>
      <c r="Z1" t="s">
        <v>86</v>
      </c>
      <c r="AA1" t="s">
        <v>88</v>
      </c>
      <c r="AB1" t="s">
        <v>90</v>
      </c>
      <c r="AC1" t="s">
        <v>92</v>
      </c>
      <c r="AD1" t="s">
        <v>94</v>
      </c>
      <c r="AE1" t="s">
        <v>96</v>
      </c>
    </row>
    <row r="2" spans="1:31">
      <c r="A2">
        <f>Entry!B3</f>
        <v>247</v>
      </c>
      <c r="B2" t="str">
        <f>[1]Entry!A3</f>
        <v>control 1</v>
      </c>
      <c r="C2">
        <f>Results!K2</f>
        <v>0.14750000000000002</v>
      </c>
      <c r="F2">
        <f>Results!P2</f>
        <v>5.5211695199999966E-2</v>
      </c>
      <c r="M2">
        <f>D4</f>
        <v>0.14650000000000002</v>
      </c>
      <c r="N2">
        <f>E4</f>
        <v>1.4142135623730963E-3</v>
      </c>
      <c r="O2">
        <f>D7</f>
        <v>0.13516666666666668</v>
      </c>
      <c r="P2">
        <f>E7</f>
        <v>1.0969655114602885E-2</v>
      </c>
      <c r="Q2">
        <f>D4</f>
        <v>0.14650000000000002</v>
      </c>
      <c r="R2">
        <f>E4</f>
        <v>1.4142135623730963E-3</v>
      </c>
      <c r="S2">
        <f>D4</f>
        <v>0.14650000000000002</v>
      </c>
      <c r="T2">
        <f>E4</f>
        <v>1.4142135623730963E-3</v>
      </c>
      <c r="U2">
        <f>D4</f>
        <v>0.14650000000000002</v>
      </c>
      <c r="V2">
        <f>E4</f>
        <v>1.4142135623730963E-3</v>
      </c>
      <c r="W2">
        <f>D4</f>
        <v>0.14650000000000002</v>
      </c>
      <c r="X2" t="s">
        <v>120</v>
      </c>
      <c r="Z2" s="41">
        <f>[1]Entry!D5</f>
        <v>0</v>
      </c>
      <c r="AA2" s="41">
        <f>[1]Entry!D8</f>
        <v>9.3055555553291924E-2</v>
      </c>
      <c r="AB2" s="41">
        <f>[1]Entry!D5</f>
        <v>0</v>
      </c>
      <c r="AC2" s="41">
        <f>[1]Entry!D5</f>
        <v>0</v>
      </c>
      <c r="AD2" s="41">
        <f>[1]Entry!D5</f>
        <v>0</v>
      </c>
      <c r="AE2" s="41">
        <f>[1]Entry!D5</f>
        <v>0</v>
      </c>
    </row>
    <row r="3" spans="1:31">
      <c r="A3">
        <f>Entry!B4</f>
        <v>248</v>
      </c>
      <c r="B3" t="str">
        <f>[1]Entry!A4</f>
        <v>control 2</v>
      </c>
      <c r="C3">
        <f>Results!K3</f>
        <v>0.14550000000000002</v>
      </c>
      <c r="F3">
        <f>Results!P3</f>
        <v>3.7282083999999993E-2</v>
      </c>
      <c r="M3">
        <f>D10</f>
        <v>0.19533333333333336</v>
      </c>
      <c r="N3">
        <f>E10</f>
        <v>2.0816659994661348E-3</v>
      </c>
      <c r="O3">
        <f>C16</f>
        <v>0.27</v>
      </c>
      <c r="P3">
        <f>E16</f>
        <v>9.0184995056457971E-3</v>
      </c>
      <c r="Q3">
        <f>D13</f>
        <v>0.3173333333333333</v>
      </c>
      <c r="R3">
        <f>E13</f>
        <v>3.9145029484385183E-2</v>
      </c>
      <c r="S3">
        <f>D19</f>
        <v>0.18300000000000002</v>
      </c>
      <c r="T3">
        <f>E19</f>
        <v>9.5393920141694493E-3</v>
      </c>
      <c r="U3">
        <f>D22</f>
        <v>0.17000000000000004</v>
      </c>
      <c r="V3">
        <f>E22</f>
        <v>8.5440037453175244E-3</v>
      </c>
      <c r="W3">
        <f>D25</f>
        <v>0.21200000000000002</v>
      </c>
      <c r="X3" t="e">
        <f>E25</f>
        <v>#DIV/0!</v>
      </c>
      <c r="Z3" s="41">
        <f>[1]Entry!D11</f>
        <v>1.0541666666686069</v>
      </c>
      <c r="AA3" s="41">
        <f>[1]Entry!D17</f>
        <v>1.0541666666686069</v>
      </c>
      <c r="AB3" s="41">
        <f>[1]Entry!D14</f>
        <v>1.0541666666686069</v>
      </c>
      <c r="AC3" s="41">
        <f>[1]Entry!D20</f>
        <v>1.0541666666686069</v>
      </c>
      <c r="AD3" s="41">
        <f>[1]Entry!D23</f>
        <v>1.0541666666686069</v>
      </c>
      <c r="AE3" s="41">
        <f>[1]Entry!D26</f>
        <v>1.0541666666686069</v>
      </c>
    </row>
    <row r="4" spans="1:31">
      <c r="A4">
        <f>Entry!B5</f>
        <v>249</v>
      </c>
      <c r="B4" t="str">
        <f>[1]Entry!A5</f>
        <v>control 3</v>
      </c>
      <c r="C4" t="s">
        <v>123</v>
      </c>
      <c r="D4">
        <f>AVERAGE(C2:C4)</f>
        <v>0.14650000000000002</v>
      </c>
      <c r="E4">
        <f>_xlfn.STDEV.S(C2:C4)</f>
        <v>1.4142135623730963E-3</v>
      </c>
      <c r="F4">
        <f>Results!P4</f>
        <v>2.5432679200000002E-2</v>
      </c>
      <c r="G4">
        <f>AVERAGE(F2:F4)</f>
        <v>3.9308819466666652E-2</v>
      </c>
      <c r="H4">
        <f>_xlfn.STDEV.S(F2:F4)</f>
        <v>1.4992604542605219E-2</v>
      </c>
      <c r="I4">
        <f>G4/D4</f>
        <v>0.26831958680318529</v>
      </c>
      <c r="J4">
        <f>(SQRT((E4/D4)^2+(H4/G4)^2))*I4</f>
        <v>0.1023713708856832</v>
      </c>
      <c r="M4">
        <f>D28</f>
        <v>0.30600000000000005</v>
      </c>
      <c r="N4">
        <f>E28</f>
        <v>2.4020824298928628E-2</v>
      </c>
      <c r="O4">
        <f>D34</f>
        <v>0.5</v>
      </c>
      <c r="P4">
        <f>E34</f>
        <v>1.2727922061357828E-2</v>
      </c>
      <c r="Q4">
        <f>D31</f>
        <v>0.80433333333333346</v>
      </c>
      <c r="R4">
        <f>E31</f>
        <v>6.5454819022997338E-2</v>
      </c>
      <c r="S4">
        <f>D37</f>
        <v>0.25</v>
      </c>
      <c r="T4">
        <f>E37</f>
        <v>1.6970562748477157E-2</v>
      </c>
      <c r="U4">
        <f>D40</f>
        <v>0.29400000000000004</v>
      </c>
      <c r="V4">
        <f>E40</f>
        <v>2.4879710609249449E-2</v>
      </c>
      <c r="W4">
        <f>D43</f>
        <v>0.30400000000000005</v>
      </c>
      <c r="X4" t="e">
        <f>E43</f>
        <v>#DIV/0!</v>
      </c>
      <c r="Z4" s="41">
        <f>[1]Entry!D29</f>
        <v>2.0645833333328483</v>
      </c>
      <c r="AA4" s="41">
        <f>[1]Entry!D35</f>
        <v>2.1062499999970896</v>
      </c>
      <c r="AB4" s="41">
        <f>[1]Entry!D32</f>
        <v>2.0854166666686069</v>
      </c>
      <c r="AC4" s="41">
        <f>[1]Entry!D38</f>
        <v>2.1270833333328483</v>
      </c>
      <c r="AD4" s="41">
        <f>[1]Entry!D41</f>
        <v>2.1444444444423425</v>
      </c>
      <c r="AE4" s="41">
        <f>[1]Entry!D44</f>
        <v>2.1652777777781012</v>
      </c>
    </row>
    <row r="5" spans="1:31">
      <c r="A5">
        <f>Entry!B6</f>
        <v>250</v>
      </c>
      <c r="B5" t="str">
        <f>[1]Entry!A6</f>
        <v>SAMW 4</v>
      </c>
      <c r="C5">
        <f>Results!K5</f>
        <v>0.14750000000000002</v>
      </c>
      <c r="F5">
        <f>Results!P5</f>
        <v>4.5912555999999993E-2</v>
      </c>
      <c r="M5">
        <f>D46</f>
        <v>0.35831250000000003</v>
      </c>
      <c r="N5">
        <f>E46</f>
        <v>2.7055498516937376E-2</v>
      </c>
      <c r="O5">
        <f>D52</f>
        <v>0.38333333333333336</v>
      </c>
      <c r="P5">
        <f>E52</f>
        <v>1.3868429375143128E-2</v>
      </c>
      <c r="Q5">
        <f>D49</f>
        <v>0.72133333333333338</v>
      </c>
      <c r="R5">
        <f>E49</f>
        <v>8.6193580580767828E-2</v>
      </c>
      <c r="S5">
        <f>D55</f>
        <v>0.22933333333333336</v>
      </c>
      <c r="T5">
        <f>E55</f>
        <v>2.7682726262659413E-2</v>
      </c>
      <c r="U5">
        <f>D58</f>
        <v>0.22900000000000001</v>
      </c>
      <c r="V5">
        <f>E58</f>
        <v>2.3388031127052997E-2</v>
      </c>
      <c r="W5">
        <f>D61</f>
        <v>0.309</v>
      </c>
      <c r="X5" t="e">
        <f>E61</f>
        <v>#DIV/0!</v>
      </c>
      <c r="Z5" s="41">
        <f>[1]Entry!D47</f>
        <v>5.0645833333328483</v>
      </c>
      <c r="AA5" s="41">
        <f>[1]Entry!D53</f>
        <v>5.1062499999970896</v>
      </c>
      <c r="AB5" s="41">
        <f>[1]Entry!D50</f>
        <v>5.0854166666686069</v>
      </c>
      <c r="AC5" s="41">
        <f>[1]Entry!D56</f>
        <v>5.1270833333328483</v>
      </c>
      <c r="AD5" s="41">
        <f>[1]Entry!D59</f>
        <v>5.1444444444423425</v>
      </c>
      <c r="AE5" s="41">
        <f>[1]Entry!D62</f>
        <v>5.1652777777781012</v>
      </c>
    </row>
    <row r="6" spans="1:31">
      <c r="A6">
        <f>Entry!B7</f>
        <v>251</v>
      </c>
      <c r="B6" t="str">
        <f>[1]Entry!A7</f>
        <v>SAMW 5</v>
      </c>
      <c r="C6">
        <f>Results!K6</f>
        <v>0.12650000000000003</v>
      </c>
      <c r="F6">
        <f>Results!P6</f>
        <v>3.7017727199999989E-2</v>
      </c>
    </row>
    <row r="7" spans="1:31">
      <c r="A7">
        <f>Entry!B8</f>
        <v>252</v>
      </c>
      <c r="B7" t="str">
        <f>[1]Entry!A8</f>
        <v>SAMW 6</v>
      </c>
      <c r="C7">
        <f>Results!K7</f>
        <v>0.13150000000000003</v>
      </c>
      <c r="D7">
        <f>AVERAGE(C5:C7)</f>
        <v>0.13516666666666668</v>
      </c>
      <c r="E7">
        <f>_xlfn.STDEV.S(C5:C7)</f>
        <v>1.0969655114602885E-2</v>
      </c>
      <c r="F7">
        <f>Results!P7</f>
        <v>3.0875319199999973E-2</v>
      </c>
      <c r="G7">
        <f>AVERAGE(F5:F7)</f>
        <v>3.7935200799999985E-2</v>
      </c>
      <c r="H7">
        <f>_xlfn.STDEV.S(F5:F7)</f>
        <v>7.5604855002732148E-3</v>
      </c>
      <c r="I7">
        <f t="shared" ref="I7:I61" si="0">G7/D7</f>
        <v>0.28065499975339075</v>
      </c>
      <c r="J7">
        <f>(SQRT((E7/D7)^2+(H7/G7)^2))*I7</f>
        <v>6.039423614681045E-2</v>
      </c>
    </row>
    <row r="8" spans="1:31">
      <c r="A8">
        <f>Entry!B9</f>
        <v>270</v>
      </c>
      <c r="B8" t="str">
        <f>[1]Entry!A9</f>
        <v>control 1</v>
      </c>
      <c r="C8">
        <f>Results!K8</f>
        <v>0.19700000000000001</v>
      </c>
      <c r="F8">
        <f>Results!P8</f>
        <v>-2.3325599999997435E-4</v>
      </c>
    </row>
    <row r="9" spans="1:31">
      <c r="A9">
        <f>Entry!B10</f>
        <v>271</v>
      </c>
      <c r="B9" t="str">
        <f>[1]Entry!A10</f>
        <v>control 2</v>
      </c>
      <c r="C9">
        <f>Results!K9</f>
        <v>0.193</v>
      </c>
      <c r="F9">
        <f>Results!P9</f>
        <v>3.6154680000000036E-2</v>
      </c>
    </row>
    <row r="10" spans="1:31">
      <c r="A10">
        <f>Entry!B11</f>
        <v>272</v>
      </c>
      <c r="B10" t="str">
        <f>[1]Entry!A11</f>
        <v>control 3</v>
      </c>
      <c r="C10">
        <f>Results!K10</f>
        <v>0.19600000000000001</v>
      </c>
      <c r="D10">
        <f>AVERAGE(C8:C10)</f>
        <v>0.19533333333333336</v>
      </c>
      <c r="E10">
        <f>_xlfn.STDEV.S(C8:C10)</f>
        <v>2.0816659994661348E-3</v>
      </c>
      <c r="F10">
        <f>Results!P10</f>
        <v>3.0323280000000025E-2</v>
      </c>
      <c r="G10">
        <f>AVERAGE(F8:F10)</f>
        <v>2.2081568000000027E-2</v>
      </c>
      <c r="H10">
        <f>_xlfn.STDEV.S(F8:F10)</f>
        <v>1.9543920643085723E-2</v>
      </c>
      <c r="I10">
        <f t="shared" si="0"/>
        <v>0.11304556996587044</v>
      </c>
      <c r="J10">
        <f>(SQRT((E10/D10)^2+(H10/G10)^2))*I10</f>
        <v>0.10006145387252363</v>
      </c>
      <c r="L10" t="s">
        <v>99</v>
      </c>
      <c r="M10" t="s">
        <v>86</v>
      </c>
      <c r="O10" t="s">
        <v>88</v>
      </c>
      <c r="Q10" t="s">
        <v>90</v>
      </c>
      <c r="S10" t="s">
        <v>92</v>
      </c>
      <c r="U10" t="s">
        <v>94</v>
      </c>
      <c r="W10" t="s">
        <v>96</v>
      </c>
    </row>
    <row r="11" spans="1:31">
      <c r="A11">
        <f>Entry!B12</f>
        <v>273</v>
      </c>
      <c r="B11" t="str">
        <f>[1]Entry!A12</f>
        <v>NO3 4</v>
      </c>
      <c r="C11">
        <f>Results!K11</f>
        <v>0.28900000000000003</v>
      </c>
      <c r="F11">
        <f>Results!P11</f>
        <v>4.2685847999999964E-2</v>
      </c>
      <c r="M11">
        <f>G4</f>
        <v>3.9308819466666652E-2</v>
      </c>
      <c r="N11">
        <f>H4</f>
        <v>1.4992604542605219E-2</v>
      </c>
      <c r="O11">
        <f>G7</f>
        <v>3.7935200799999985E-2</v>
      </c>
      <c r="P11">
        <f>H7</f>
        <v>7.5604855002732148E-3</v>
      </c>
      <c r="Q11">
        <f>D13</f>
        <v>0.3173333333333333</v>
      </c>
      <c r="R11">
        <f>E13</f>
        <v>3.9145029484385183E-2</v>
      </c>
      <c r="S11">
        <f>D13</f>
        <v>0.3173333333333333</v>
      </c>
      <c r="T11">
        <f>E13</f>
        <v>3.9145029484385183E-2</v>
      </c>
      <c r="U11">
        <f>D13</f>
        <v>0.3173333333333333</v>
      </c>
      <c r="V11">
        <f>E13</f>
        <v>3.9145029484385183E-2</v>
      </c>
      <c r="W11">
        <f>D13</f>
        <v>0.3173333333333333</v>
      </c>
      <c r="X11">
        <f>E13</f>
        <v>3.9145029484385183E-2</v>
      </c>
      <c r="Z11" s="41">
        <f t="shared" ref="Z11:AE14" si="1">Z2</f>
        <v>0</v>
      </c>
      <c r="AA11" s="41">
        <f t="shared" si="1"/>
        <v>9.3055555553291924E-2</v>
      </c>
      <c r="AB11" s="41">
        <f t="shared" si="1"/>
        <v>0</v>
      </c>
      <c r="AC11" s="41">
        <f t="shared" si="1"/>
        <v>0</v>
      </c>
      <c r="AD11" s="41">
        <f t="shared" si="1"/>
        <v>0</v>
      </c>
      <c r="AE11" s="41">
        <f t="shared" si="1"/>
        <v>0</v>
      </c>
    </row>
    <row r="12" spans="1:31">
      <c r="A12">
        <f>Entry!B13</f>
        <v>274</v>
      </c>
      <c r="B12" t="str">
        <f>[1]Entry!A13</f>
        <v>NO3 5</v>
      </c>
      <c r="C12">
        <f>Results!K12</f>
        <v>0.36200000000000004</v>
      </c>
      <c r="F12">
        <f>Results!P12</f>
        <v>4.0275536000000056E-2</v>
      </c>
      <c r="M12">
        <f>G10</f>
        <v>2.2081568000000027E-2</v>
      </c>
      <c r="N12">
        <f>H10</f>
        <v>1.9543920643085723E-2</v>
      </c>
      <c r="O12">
        <f>G16</f>
        <v>4.291910400000002E-2</v>
      </c>
      <c r="P12">
        <f>H16</f>
        <v>1.8477513740000395E-2</v>
      </c>
      <c r="Q12">
        <f>G13</f>
        <v>5.0797973333333385E-2</v>
      </c>
      <c r="R12">
        <f>H13</f>
        <v>1.6182941491514547E-2</v>
      </c>
      <c r="S12">
        <f>G19</f>
        <v>2.7456822933333416E-2</v>
      </c>
      <c r="T12">
        <f>H19</f>
        <v>7.0880888441287853E-3</v>
      </c>
      <c r="U12">
        <f>G22</f>
        <v>3.0551352533333343E-2</v>
      </c>
      <c r="V12">
        <f>H22</f>
        <v>1.6220441282285916E-3</v>
      </c>
      <c r="W12">
        <f>G25</f>
        <v>3.1411807999999992E-2</v>
      </c>
      <c r="X12" t="e">
        <f>H25</f>
        <v>#DIV/0!</v>
      </c>
      <c r="Z12" s="41">
        <f t="shared" si="1"/>
        <v>1.0541666666686069</v>
      </c>
      <c r="AA12" s="41">
        <f t="shared" si="1"/>
        <v>1.0541666666686069</v>
      </c>
      <c r="AB12" s="41">
        <f t="shared" si="1"/>
        <v>1.0541666666686069</v>
      </c>
      <c r="AC12" s="41">
        <f t="shared" si="1"/>
        <v>1.0541666666686069</v>
      </c>
      <c r="AD12" s="41">
        <f t="shared" si="1"/>
        <v>1.0541666666686069</v>
      </c>
      <c r="AE12" s="41">
        <f t="shared" si="1"/>
        <v>1.0541666666686069</v>
      </c>
    </row>
    <row r="13" spans="1:31">
      <c r="A13">
        <f>Entry!B14</f>
        <v>275</v>
      </c>
      <c r="B13" t="str">
        <f>[1]Entry!A14</f>
        <v>NO3 6</v>
      </c>
      <c r="C13">
        <f>Results!K13</f>
        <v>0.30099999999999999</v>
      </c>
      <c r="D13">
        <f>AVERAGE(C11:C13)</f>
        <v>0.3173333333333333</v>
      </c>
      <c r="E13">
        <f>_xlfn.STDEV.S(C11:C13)</f>
        <v>3.9145029484385183E-2</v>
      </c>
      <c r="F13">
        <f>Results!P13</f>
        <v>6.9432536000000128E-2</v>
      </c>
      <c r="G13">
        <f>AVERAGE(F11:F13)</f>
        <v>5.0797973333333385E-2</v>
      </c>
      <c r="H13">
        <f>_xlfn.STDEV.S(F11:F13)</f>
        <v>1.6182941491514547E-2</v>
      </c>
      <c r="I13">
        <f t="shared" si="0"/>
        <v>0.16007764705882371</v>
      </c>
      <c r="J13">
        <f>(SQRT((E13/D13)^2+(H13/G13)^2))*I13</f>
        <v>5.4686257141295276E-2</v>
      </c>
      <c r="M13">
        <f>G28</f>
        <v>5.1368154666666714E-2</v>
      </c>
      <c r="N13">
        <f>H28</f>
        <v>1.2367294157401634E-2</v>
      </c>
      <c r="O13">
        <f>G34</f>
        <v>-1.8738232000000011E-2</v>
      </c>
      <c r="P13">
        <f>H34</f>
        <v>7.785021649435607E-2</v>
      </c>
      <c r="Q13">
        <f>G31</f>
        <v>0.12588048800000018</v>
      </c>
      <c r="R13">
        <f>H31</f>
        <v>2.3897959751752618E-2</v>
      </c>
      <c r="S13">
        <f>G37</f>
        <v>9.3457904000000036E-2</v>
      </c>
      <c r="T13">
        <f>H37</f>
        <v>2.6389903896392019E-3</v>
      </c>
      <c r="U13">
        <f>G40</f>
        <v>9.8550660000000026E-2</v>
      </c>
      <c r="V13">
        <f>H40</f>
        <v>1.9242638257786142E-3</v>
      </c>
      <c r="W13">
        <f>G43</f>
        <v>0.16016912000000005</v>
      </c>
      <c r="X13" t="s">
        <v>121</v>
      </c>
      <c r="Z13" s="41">
        <f t="shared" si="1"/>
        <v>2.0645833333328483</v>
      </c>
      <c r="AA13" s="41">
        <f t="shared" si="1"/>
        <v>2.1062499999970896</v>
      </c>
      <c r="AB13" s="41">
        <f t="shared" si="1"/>
        <v>2.0854166666686069</v>
      </c>
      <c r="AC13" s="41">
        <f t="shared" si="1"/>
        <v>2.1270833333328483</v>
      </c>
      <c r="AD13" s="41">
        <f t="shared" si="1"/>
        <v>2.1444444444423425</v>
      </c>
      <c r="AE13" s="41">
        <f t="shared" si="1"/>
        <v>2.1652777777781012</v>
      </c>
    </row>
    <row r="14" spans="1:31">
      <c r="A14">
        <f>Entry!B15</f>
        <v>276</v>
      </c>
      <c r="B14" t="str">
        <f>[1]Entry!A15</f>
        <v>SAMW 7</v>
      </c>
      <c r="C14">
        <f>Results!K14</f>
        <v>0.26</v>
      </c>
      <c r="F14">
        <f>Results!P14</f>
        <v>5.2560352000000005E-2</v>
      </c>
      <c r="M14">
        <f>G46</f>
        <v>3.5221656000000039E-2</v>
      </c>
      <c r="N14">
        <f>H46</f>
        <v>7.1074004389385156E-3</v>
      </c>
      <c r="O14">
        <f>G52</f>
        <v>-3.4573722666666688E-2</v>
      </c>
      <c r="P14">
        <f>H52</f>
        <v>4.3236917095081442E-3</v>
      </c>
      <c r="Q14">
        <f>G49</f>
        <v>2.7316869333333493E-2</v>
      </c>
      <c r="R14">
        <f>H49</f>
        <v>2.7085088969050857E-2</v>
      </c>
      <c r="S14">
        <f>G55</f>
        <v>2.7524208000000022E-2</v>
      </c>
      <c r="T14">
        <f>H55</f>
        <v>7.6018238156863481E-3</v>
      </c>
      <c r="U14">
        <f>G58</f>
        <v>2.9364338666666687E-2</v>
      </c>
      <c r="V14">
        <f>H58</f>
        <v>8.2944780185386906E-3</v>
      </c>
      <c r="W14">
        <f>G61</f>
        <v>3.5999176000000098E-2</v>
      </c>
      <c r="X14" t="e">
        <f>H61</f>
        <v>#DIV/0!</v>
      </c>
      <c r="Z14" s="41">
        <f t="shared" si="1"/>
        <v>5.0645833333328483</v>
      </c>
      <c r="AA14" s="41">
        <f t="shared" si="1"/>
        <v>5.1062499999970896</v>
      </c>
      <c r="AB14" s="41">
        <f t="shared" si="1"/>
        <v>5.0854166666686069</v>
      </c>
      <c r="AC14" s="41">
        <f t="shared" si="1"/>
        <v>5.1270833333328483</v>
      </c>
      <c r="AD14" s="41">
        <f t="shared" si="1"/>
        <v>5.1444444444423425</v>
      </c>
      <c r="AE14" s="41">
        <f t="shared" si="1"/>
        <v>5.1652777777781012</v>
      </c>
    </row>
    <row r="15" spans="1:31">
      <c r="A15">
        <f>Entry!B16</f>
        <v>277</v>
      </c>
      <c r="B15" t="str">
        <f>[1]Entry!A16</f>
        <v>SAMW 8</v>
      </c>
      <c r="C15">
        <f>Results!K15</f>
        <v>0.252</v>
      </c>
      <c r="F15">
        <f>Results!P15</f>
        <v>2.1615056000000035E-2</v>
      </c>
    </row>
    <row r="16" spans="1:31">
      <c r="A16">
        <f>Entry!B17</f>
        <v>278</v>
      </c>
      <c r="B16" t="str">
        <f>[1]Entry!A17</f>
        <v>SAMW 9</v>
      </c>
      <c r="C16">
        <f>Results!K16</f>
        <v>0.27</v>
      </c>
      <c r="D16">
        <f>AVERAGE(C14:C16)</f>
        <v>0.26066666666666666</v>
      </c>
      <c r="E16">
        <f>_xlfn.STDEV.S(C14:C16)</f>
        <v>9.0184995056457971E-3</v>
      </c>
      <c r="F16">
        <f>Results!P16</f>
        <v>5.4581904000000028E-2</v>
      </c>
      <c r="G16">
        <f>AVERAGE(F14:F16)</f>
        <v>4.291910400000002E-2</v>
      </c>
      <c r="H16">
        <f>_xlfn.STDEV.S(F14:F16)</f>
        <v>1.8477513740000395E-2</v>
      </c>
      <c r="I16">
        <f t="shared" si="0"/>
        <v>0.16465129411764715</v>
      </c>
      <c r="J16">
        <f>(SQRT((E16/D16)^2+(H16/G16)^2))*I16</f>
        <v>7.1114131068978403E-2</v>
      </c>
    </row>
    <row r="17" spans="1:31">
      <c r="A17">
        <f>Entry!B18</f>
        <v>279</v>
      </c>
      <c r="B17" t="str">
        <f>[1]Entry!A18</f>
        <v>Si 10</v>
      </c>
      <c r="C17">
        <f>Results!K17</f>
        <v>0.188</v>
      </c>
      <c r="F17">
        <f>Results!P17</f>
        <v>3.5143904000000101E-2</v>
      </c>
    </row>
    <row r="18" spans="1:31">
      <c r="A18">
        <f>Entry!B19</f>
        <v>280</v>
      </c>
      <c r="B18" t="str">
        <f>[1]Entry!A19</f>
        <v>Si 11</v>
      </c>
      <c r="C18">
        <f>Results!K18</f>
        <v>0.189</v>
      </c>
      <c r="F18">
        <f>Results!P18</f>
        <v>2.6046920000000109E-2</v>
      </c>
    </row>
    <row r="19" spans="1:31">
      <c r="A19">
        <f>Entry!B20</f>
        <v>281</v>
      </c>
      <c r="B19" t="str">
        <f>[1]Entry!A20</f>
        <v>Si 12</v>
      </c>
      <c r="C19">
        <f>Results!K19</f>
        <v>0.17200000000000001</v>
      </c>
      <c r="D19">
        <f>AVERAGE(C17:C19)</f>
        <v>0.18300000000000002</v>
      </c>
      <c r="E19">
        <f>_xlfn.STDEV.S(C17:C19)</f>
        <v>9.5393920141694493E-3</v>
      </c>
      <c r="F19">
        <f>Results!P19</f>
        <v>2.1179644800000036E-2</v>
      </c>
      <c r="G19">
        <f>AVERAGE(F17:F19)</f>
        <v>2.7456822933333416E-2</v>
      </c>
      <c r="H19">
        <f>_xlfn.STDEV.S(F17:F19)</f>
        <v>7.0880888441287853E-3</v>
      </c>
      <c r="I19">
        <f t="shared" si="0"/>
        <v>0.15003728378870718</v>
      </c>
      <c r="J19">
        <f>(SQRT((E19/D19)^2+(H19/G19)^2))*I19</f>
        <v>3.9514477516686262E-2</v>
      </c>
      <c r="L19" t="s">
        <v>100</v>
      </c>
      <c r="M19" t="s">
        <v>86</v>
      </c>
      <c r="O19" t="s">
        <v>88</v>
      </c>
      <c r="Q19" t="s">
        <v>90</v>
      </c>
      <c r="S19" t="s">
        <v>92</v>
      </c>
      <c r="U19" t="s">
        <v>94</v>
      </c>
      <c r="W19" t="s">
        <v>96</v>
      </c>
    </row>
    <row r="20" spans="1:31">
      <c r="A20">
        <f>Entry!B21</f>
        <v>282</v>
      </c>
      <c r="B20" t="str">
        <f>[1]Entry!A21</f>
        <v>Fe + Si 13</v>
      </c>
      <c r="C20">
        <f>Results!K20</f>
        <v>0.16100000000000003</v>
      </c>
      <c r="F20">
        <f>Results!P20</f>
        <v>2.9685713599999993E-2</v>
      </c>
      <c r="M20">
        <f>I4</f>
        <v>0.26831958680318529</v>
      </c>
      <c r="N20">
        <f>J4</f>
        <v>0.1023713708856832</v>
      </c>
      <c r="O20">
        <f>I7</f>
        <v>0.28065499975339075</v>
      </c>
      <c r="P20">
        <f>J7</f>
        <v>6.039423614681045E-2</v>
      </c>
      <c r="Q20">
        <f>D22</f>
        <v>0.17000000000000004</v>
      </c>
      <c r="R20">
        <f>E22</f>
        <v>8.5440037453175244E-3</v>
      </c>
      <c r="S20">
        <f>D22</f>
        <v>0.17000000000000004</v>
      </c>
      <c r="T20">
        <f>E22</f>
        <v>8.5440037453175244E-3</v>
      </c>
      <c r="U20">
        <f>D22</f>
        <v>0.17000000000000004</v>
      </c>
      <c r="V20">
        <f>E22</f>
        <v>8.5440037453175244E-3</v>
      </c>
      <c r="W20">
        <f>D22</f>
        <v>0.17000000000000004</v>
      </c>
      <c r="X20" t="s">
        <v>117</v>
      </c>
      <c r="Z20" s="41">
        <f t="shared" ref="Z20:AE23" si="2">Z2</f>
        <v>0</v>
      </c>
      <c r="AA20" s="41">
        <f t="shared" si="2"/>
        <v>9.3055555553291924E-2</v>
      </c>
      <c r="AB20" s="41">
        <f t="shared" si="2"/>
        <v>0</v>
      </c>
      <c r="AC20" s="41">
        <f t="shared" si="2"/>
        <v>0</v>
      </c>
      <c r="AD20" s="41">
        <f t="shared" si="2"/>
        <v>0</v>
      </c>
      <c r="AE20" s="41">
        <f t="shared" si="2"/>
        <v>0</v>
      </c>
    </row>
    <row r="21" spans="1:31">
      <c r="A21">
        <f>Entry!B22</f>
        <v>283</v>
      </c>
      <c r="B21" t="str">
        <f>[1]Entry!A22</f>
        <v>Fe + Si 14</v>
      </c>
      <c r="C21">
        <f>Results!K21</f>
        <v>0.17100000000000001</v>
      </c>
      <c r="F21">
        <f>Results!P21</f>
        <v>3.2422584000000011E-2</v>
      </c>
      <c r="M21">
        <f>I10</f>
        <v>0.11304556996587044</v>
      </c>
      <c r="N21">
        <f>J10</f>
        <v>0.10006145387252363</v>
      </c>
      <c r="O21">
        <f>I16</f>
        <v>0.16465129411764715</v>
      </c>
      <c r="P21">
        <f>J16</f>
        <v>7.1114131068978403E-2</v>
      </c>
      <c r="Q21">
        <f>I13</f>
        <v>0.16007764705882371</v>
      </c>
      <c r="R21">
        <f>J13</f>
        <v>5.4686257141295276E-2</v>
      </c>
      <c r="S21">
        <f>I19</f>
        <v>0.15003728378870718</v>
      </c>
      <c r="T21">
        <f>J19</f>
        <v>3.9514477516686262E-2</v>
      </c>
      <c r="U21">
        <f>I22</f>
        <v>0.17971383843137256</v>
      </c>
      <c r="V21">
        <f>J22</f>
        <v>1.3138486224382682E-2</v>
      </c>
      <c r="W21" t="s">
        <v>118</v>
      </c>
      <c r="X21" t="s">
        <v>119</v>
      </c>
      <c r="Z21" s="41">
        <f t="shared" si="2"/>
        <v>1.0541666666686069</v>
      </c>
      <c r="AA21" s="41">
        <f t="shared" si="2"/>
        <v>1.0541666666686069</v>
      </c>
      <c r="AB21" s="41">
        <f t="shared" si="2"/>
        <v>1.0541666666686069</v>
      </c>
      <c r="AC21" s="41">
        <f t="shared" si="2"/>
        <v>1.0541666666686069</v>
      </c>
      <c r="AD21" s="41">
        <f t="shared" si="2"/>
        <v>1.0541666666686069</v>
      </c>
      <c r="AE21" s="41">
        <f t="shared" si="2"/>
        <v>1.0541666666686069</v>
      </c>
    </row>
    <row r="22" spans="1:31">
      <c r="A22">
        <f>Entry!B23</f>
        <v>284</v>
      </c>
      <c r="B22" t="str">
        <f>[1]Entry!A23</f>
        <v>Fe + Si 15</v>
      </c>
      <c r="C22">
        <f>Results!K22</f>
        <v>0.17800000000000002</v>
      </c>
      <c r="D22">
        <f>AVERAGE(C20:C22)</f>
        <v>0.17000000000000004</v>
      </c>
      <c r="E22">
        <f>_xlfn.STDEV.S(C20:C22)</f>
        <v>8.5440037453175244E-3</v>
      </c>
      <c r="F22">
        <f>Results!P22</f>
        <v>2.9545760000000029E-2</v>
      </c>
      <c r="G22">
        <f>AVERAGE(F20:F22)</f>
        <v>3.0551352533333343E-2</v>
      </c>
      <c r="H22">
        <f>_xlfn.STDEV.S(F20:F22)</f>
        <v>1.6220441282285916E-3</v>
      </c>
      <c r="I22">
        <f t="shared" si="0"/>
        <v>0.17971383843137256</v>
      </c>
      <c r="J22">
        <f>(SQRT((E22/D22)^2+(H22/G22)^2))*I22</f>
        <v>1.3138486224382682E-2</v>
      </c>
      <c r="M22">
        <f>I28</f>
        <v>0.16786978649237486</v>
      </c>
      <c r="N22">
        <f>J28</f>
        <v>4.2510044321706436E-2</v>
      </c>
      <c r="O22">
        <f>I34</f>
        <v>-3.7476464000000022E-2</v>
      </c>
      <c r="P22">
        <f>J34</f>
        <v>-0.15570335558163734</v>
      </c>
      <c r="Q22">
        <f>I31</f>
        <v>0.1565028860339828</v>
      </c>
      <c r="R22">
        <f>J31</f>
        <v>3.2326085769639204E-2</v>
      </c>
      <c r="S22">
        <f>I37</f>
        <v>0.37383161600000014</v>
      </c>
      <c r="T22">
        <f>J37</f>
        <v>2.7484480708212203E-2</v>
      </c>
      <c r="U22">
        <f>I40</f>
        <v>0.33520632653061228</v>
      </c>
      <c r="V22">
        <f>J40</f>
        <v>2.9112082245879266E-2</v>
      </c>
      <c r="W22">
        <f>I43</f>
        <v>0.52687210526315797</v>
      </c>
      <c r="X22" t="s">
        <v>122</v>
      </c>
      <c r="Z22" s="41">
        <f t="shared" si="2"/>
        <v>2.0645833333328483</v>
      </c>
      <c r="AA22" s="41">
        <f t="shared" si="2"/>
        <v>2.1062499999970896</v>
      </c>
      <c r="AB22" s="41">
        <f t="shared" si="2"/>
        <v>2.0854166666686069</v>
      </c>
      <c r="AC22" s="41">
        <f t="shared" si="2"/>
        <v>2.1270833333328483</v>
      </c>
      <c r="AD22" s="41">
        <f t="shared" si="2"/>
        <v>2.1444444444423425</v>
      </c>
      <c r="AE22" s="41">
        <f t="shared" si="2"/>
        <v>2.1652777777781012</v>
      </c>
    </row>
    <row r="23" spans="1:31">
      <c r="A23">
        <f>Entry!B24</f>
        <v>285</v>
      </c>
      <c r="B23" t="str">
        <f>[1]Entry!A24</f>
        <v>Fe 16</v>
      </c>
      <c r="C23">
        <f>Results!K23</f>
        <v>0.21200000000000002</v>
      </c>
      <c r="F23">
        <f>Results!P23</f>
        <v>3.1411807999999992E-2</v>
      </c>
      <c r="M23">
        <f>I46</f>
        <v>9.8298708529565765E-2</v>
      </c>
      <c r="N23">
        <f>J46</f>
        <v>2.1178966219538995E-2</v>
      </c>
      <c r="O23">
        <f>I52</f>
        <v>-9.0192320000000048E-2</v>
      </c>
      <c r="P23">
        <f>J52</f>
        <v>-1.1741702683723579E-2</v>
      </c>
      <c r="Q23">
        <f>I49</f>
        <v>3.7869966728281183E-2</v>
      </c>
      <c r="R23">
        <f>J49</f>
        <v>3.7820335470011249E-2</v>
      </c>
      <c r="S23">
        <f>I55</f>
        <v>0.12001834883720938</v>
      </c>
      <c r="T23">
        <f>J55</f>
        <v>3.6175124046203828E-2</v>
      </c>
      <c r="U23">
        <f>I58</f>
        <v>0.12822855312954884</v>
      </c>
      <c r="V23">
        <f>J58</f>
        <v>3.8515295459217086E-2</v>
      </c>
      <c r="W23">
        <f>I61</f>
        <v>0.1165021877022657</v>
      </c>
      <c r="X23" t="e">
        <f>J61</f>
        <v>#DIV/0!</v>
      </c>
      <c r="Z23" s="41">
        <f t="shared" si="2"/>
        <v>5.0645833333328483</v>
      </c>
      <c r="AA23" s="41">
        <f t="shared" si="2"/>
        <v>5.1062499999970896</v>
      </c>
      <c r="AB23" s="41">
        <f t="shared" si="2"/>
        <v>5.0854166666686069</v>
      </c>
      <c r="AC23" s="41">
        <f t="shared" si="2"/>
        <v>5.1270833333328483</v>
      </c>
      <c r="AD23" s="41">
        <f t="shared" si="2"/>
        <v>5.1444444444423425</v>
      </c>
      <c r="AE23" s="41">
        <f t="shared" si="2"/>
        <v>5.1652777777781012</v>
      </c>
    </row>
    <row r="24" spans="1:31">
      <c r="A24">
        <f>Entry!B25</f>
        <v>0</v>
      </c>
      <c r="B24" t="str">
        <f>[1]Entry!A25</f>
        <v>Fe 17</v>
      </c>
      <c r="C24" t="s">
        <v>128</v>
      </c>
      <c r="F24" t="s">
        <v>130</v>
      </c>
    </row>
    <row r="25" spans="1:31">
      <c r="A25">
        <f>Entry!B26</f>
        <v>0</v>
      </c>
      <c r="B25" t="str">
        <f>[1]Entry!A26</f>
        <v>Fe 18</v>
      </c>
      <c r="C25" t="s">
        <v>129</v>
      </c>
      <c r="D25">
        <f>AVERAGE(C23:C25)</f>
        <v>0.21200000000000002</v>
      </c>
      <c r="E25" t="e">
        <f>_xlfn.STDEV.S(C23:C25)</f>
        <v>#DIV/0!</v>
      </c>
      <c r="F25" t="s">
        <v>131</v>
      </c>
      <c r="G25">
        <f>AVERAGE(F23:F25)</f>
        <v>3.1411807999999992E-2</v>
      </c>
      <c r="H25" t="e">
        <f>_xlfn.STDEV.S(F23:F25)</f>
        <v>#DIV/0!</v>
      </c>
      <c r="I25">
        <f t="shared" si="0"/>
        <v>0.1481689056603773</v>
      </c>
      <c r="J25" t="e">
        <f>(SQRT((E25/D25)^2+(H25/G25)^2))*I25</f>
        <v>#DIV/0!</v>
      </c>
    </row>
    <row r="26" spans="1:31">
      <c r="A26">
        <f>Entry!B27</f>
        <v>348</v>
      </c>
      <c r="B26" t="str">
        <f>[1]Entry!A27</f>
        <v>control 1</v>
      </c>
      <c r="C26">
        <f>Results!K26</f>
        <v>0.27900000000000003</v>
      </c>
      <c r="F26">
        <f>Results!P26</f>
        <v>3.7087704000000062E-2</v>
      </c>
      <c r="L26" t="s">
        <v>101</v>
      </c>
    </row>
    <row r="27" spans="1:31">
      <c r="A27">
        <f>Entry!B28</f>
        <v>349</v>
      </c>
      <c r="B27" t="str">
        <f>[1]Entry!A28</f>
        <v>control 2</v>
      </c>
      <c r="C27">
        <f>Results!K27</f>
        <v>0.31400000000000006</v>
      </c>
      <c r="F27">
        <f>Results!P27</f>
        <v>5.846950400000004E-2</v>
      </c>
    </row>
    <row r="28" spans="1:31">
      <c r="A28">
        <f>Entry!B29</f>
        <v>350</v>
      </c>
      <c r="B28" t="str">
        <f>[1]Entry!A29</f>
        <v>control 3</v>
      </c>
      <c r="C28">
        <f>Results!K28</f>
        <v>0.32500000000000001</v>
      </c>
      <c r="D28">
        <f>AVERAGE(C26:C28)</f>
        <v>0.30600000000000005</v>
      </c>
      <c r="E28">
        <f>_xlfn.STDEV.S(C26:C28)</f>
        <v>2.4020824298928628E-2</v>
      </c>
      <c r="F28">
        <f>Results!P28</f>
        <v>5.8547256000000027E-2</v>
      </c>
      <c r="G28">
        <f>AVERAGE(F26:F28)</f>
        <v>5.1368154666666714E-2</v>
      </c>
      <c r="H28">
        <f>_xlfn.STDEV.S(F26:F28)</f>
        <v>1.2367294157401634E-2</v>
      </c>
      <c r="I28">
        <f t="shared" si="0"/>
        <v>0.16786978649237486</v>
      </c>
      <c r="J28">
        <f>(SQRT((E28/D28)^2+(H28/G28)^2))*I28</f>
        <v>4.2510044321706436E-2</v>
      </c>
    </row>
    <row r="29" spans="1:31">
      <c r="A29">
        <f>Entry!B30</f>
        <v>351</v>
      </c>
      <c r="B29" t="str">
        <f>[1]Entry!A30</f>
        <v>NO3 4</v>
      </c>
      <c r="C29">
        <f>Results!K29</f>
        <v>0.75</v>
      </c>
      <c r="F29">
        <f>Results!P29</f>
        <v>0.10869729600000011</v>
      </c>
    </row>
    <row r="30" spans="1:31">
      <c r="A30">
        <f>Entry!B31</f>
        <v>352</v>
      </c>
      <c r="B30" t="str">
        <f>[1]Entry!A31</f>
        <v>NO3 5</v>
      </c>
      <c r="C30">
        <f>Results!K30</f>
        <v>0.877</v>
      </c>
      <c r="F30">
        <f>Results!P30</f>
        <v>0.11577272800000021</v>
      </c>
    </row>
    <row r="31" spans="1:31">
      <c r="A31">
        <f>Entry!B32</f>
        <v>353</v>
      </c>
      <c r="B31" t="str">
        <f>[1]Entry!A32</f>
        <v>NO3 6</v>
      </c>
      <c r="C31">
        <f>Results!K31</f>
        <v>0.78600000000000003</v>
      </c>
      <c r="D31">
        <f>AVERAGE(C29:C31)</f>
        <v>0.80433333333333346</v>
      </c>
      <c r="E31">
        <f>_xlfn.STDEV.S(C29:C31)</f>
        <v>6.5454819022997338E-2</v>
      </c>
      <c r="F31">
        <f>Results!P31</f>
        <v>0.15317144000000024</v>
      </c>
      <c r="G31">
        <f>AVERAGE(F29:F31)</f>
        <v>0.12588048800000018</v>
      </c>
      <c r="H31">
        <f>_xlfn.STDEV.S(F29:F31)</f>
        <v>2.3897959751752618E-2</v>
      </c>
      <c r="I31">
        <f t="shared" si="0"/>
        <v>0.1565028860339828</v>
      </c>
      <c r="J31">
        <f>(SQRT((E31/D31)^2+(H31/G31)^2))*I31</f>
        <v>3.2326085769639204E-2</v>
      </c>
    </row>
    <row r="32" spans="1:31">
      <c r="A32">
        <f>Entry!B33</f>
        <v>354</v>
      </c>
      <c r="B32" t="str">
        <f>[1]Entry!A33</f>
        <v>SAMW 7</v>
      </c>
      <c r="C32">
        <f>Results!K32</f>
        <v>0.49100000000000005</v>
      </c>
      <c r="F32">
        <f>Results!P32</f>
        <v>3.6310183999999975E-2</v>
      </c>
    </row>
    <row r="33" spans="1:10">
      <c r="A33">
        <f>Entry!B34</f>
        <v>355</v>
      </c>
      <c r="B33" t="str">
        <f>[1]Entry!A34</f>
        <v>SAMW 8</v>
      </c>
      <c r="C33" t="s">
        <v>124</v>
      </c>
      <c r="F33" t="s">
        <v>126</v>
      </c>
    </row>
    <row r="34" spans="1:10">
      <c r="A34">
        <f>Entry!B35</f>
        <v>356</v>
      </c>
      <c r="B34" t="str">
        <f>[1]Entry!A35</f>
        <v>SAMW 9</v>
      </c>
      <c r="C34">
        <f>Results!K34</f>
        <v>0.50900000000000001</v>
      </c>
      <c r="D34">
        <f>AVERAGE(C32:C34)</f>
        <v>0.5</v>
      </c>
      <c r="E34">
        <f>_xlfn.STDEV.S(C32:C34)</f>
        <v>1.2727922061357828E-2</v>
      </c>
      <c r="F34">
        <f>Results!P34</f>
        <v>-7.3786647999999996E-2</v>
      </c>
      <c r="G34">
        <f>AVERAGE(F32:F34)</f>
        <v>-1.8738232000000011E-2</v>
      </c>
      <c r="H34">
        <f>_xlfn.STDEV.S(F32:F34)</f>
        <v>7.785021649435607E-2</v>
      </c>
      <c r="I34">
        <f t="shared" si="0"/>
        <v>-3.7476464000000022E-2</v>
      </c>
      <c r="J34">
        <f>(SQRT((E34/D34)^2+(H34/G34)^2))*I34</f>
        <v>-0.15570335558163734</v>
      </c>
    </row>
    <row r="35" spans="1:10">
      <c r="A35">
        <f>Entry!B36</f>
        <v>357</v>
      </c>
      <c r="B35" t="str">
        <f>[1]Entry!A36</f>
        <v>Si 10</v>
      </c>
      <c r="C35" t="s">
        <v>125</v>
      </c>
      <c r="F35" t="s">
        <v>127</v>
      </c>
    </row>
    <row r="36" spans="1:10">
      <c r="A36">
        <f>Entry!B37</f>
        <v>358</v>
      </c>
      <c r="B36" t="str">
        <f>[1]Entry!A37</f>
        <v>Si 11</v>
      </c>
      <c r="C36">
        <f>Results!K36</f>
        <v>0.23799999999999999</v>
      </c>
      <c r="F36">
        <f>Results!P36</f>
        <v>9.5323952000000045E-2</v>
      </c>
    </row>
    <row r="37" spans="1:10">
      <c r="A37">
        <f>Entry!B38</f>
        <v>359</v>
      </c>
      <c r="B37" t="str">
        <f>[1]Entry!A38</f>
        <v>Si 12</v>
      </c>
      <c r="C37">
        <f>Results!K37</f>
        <v>0.26200000000000001</v>
      </c>
      <c r="D37">
        <f>AVERAGE(C35:C37)</f>
        <v>0.25</v>
      </c>
      <c r="E37">
        <f>_xlfn.STDEV.S(C35:C37)</f>
        <v>1.6970562748477157E-2</v>
      </c>
      <c r="F37">
        <f>Results!P37</f>
        <v>9.1591856000000027E-2</v>
      </c>
      <c r="G37">
        <f>AVERAGE(F35:F37)</f>
        <v>9.3457904000000036E-2</v>
      </c>
      <c r="H37">
        <f>_xlfn.STDEV.S(F35:F37)</f>
        <v>2.6389903896392019E-3</v>
      </c>
      <c r="I37">
        <f t="shared" si="0"/>
        <v>0.37383161600000014</v>
      </c>
      <c r="J37">
        <f>(SQRT((E37/D37)^2+(H37/G37)^2))*I37</f>
        <v>2.7484480708212203E-2</v>
      </c>
    </row>
    <row r="38" spans="1:10">
      <c r="A38">
        <f>Entry!B39</f>
        <v>360</v>
      </c>
      <c r="B38" t="str">
        <f>[1]Entry!A39</f>
        <v>Fe + Si 13</v>
      </c>
      <c r="C38">
        <f>Results!K38</f>
        <v>0.28900000000000003</v>
      </c>
      <c r="F38">
        <f>Results!P38</f>
        <v>9.9911320000000053E-2</v>
      </c>
    </row>
    <row r="39" spans="1:10">
      <c r="A39">
        <f>Entry!B40</f>
        <v>361</v>
      </c>
      <c r="B39" t="str">
        <f>[1]Entry!A40</f>
        <v>Fe + Si 14</v>
      </c>
      <c r="C39">
        <f>Results!K39</f>
        <v>0.32100000000000001</v>
      </c>
      <c r="F39" t="s">
        <v>140</v>
      </c>
    </row>
    <row r="40" spans="1:10">
      <c r="A40">
        <f>Entry!B41</f>
        <v>362</v>
      </c>
      <c r="B40" t="str">
        <f>[1]Entry!A41</f>
        <v>Fe + Si 15</v>
      </c>
      <c r="C40">
        <f>Results!K40</f>
        <v>0.27200000000000002</v>
      </c>
      <c r="D40">
        <f>AVERAGE(C38:C40)</f>
        <v>0.29400000000000004</v>
      </c>
      <c r="E40">
        <f>_xlfn.STDEV.S(C38:C40)</f>
        <v>2.4879710609249449E-2</v>
      </c>
      <c r="F40">
        <f>Results!P40</f>
        <v>9.7189999999999999E-2</v>
      </c>
      <c r="G40">
        <f>AVERAGE(F38:F40)</f>
        <v>9.8550660000000026E-2</v>
      </c>
      <c r="H40">
        <f>_xlfn.STDEV.S(F38:F40)</f>
        <v>1.9242638257786142E-3</v>
      </c>
      <c r="I40">
        <f t="shared" si="0"/>
        <v>0.33520632653061228</v>
      </c>
      <c r="J40">
        <f>(SQRT((E40/D40)^2+(H40/G40)^2))*I40</f>
        <v>2.9112082245879266E-2</v>
      </c>
    </row>
    <row r="41" spans="1:10">
      <c r="A41">
        <f>Entry!B42</f>
        <v>363</v>
      </c>
      <c r="B41" t="str">
        <f>[1]Entry!A42</f>
        <v>Fe 16</v>
      </c>
      <c r="C41">
        <f>Results!K41</f>
        <v>0.30400000000000005</v>
      </c>
      <c r="F41">
        <f>Results!P41</f>
        <v>0.16016912000000005</v>
      </c>
    </row>
    <row r="42" spans="1:10">
      <c r="A42">
        <f>Entry!B43</f>
        <v>0</v>
      </c>
      <c r="B42" t="str">
        <f>[1]Entry!A43</f>
        <v>Fe 17</v>
      </c>
      <c r="C42" t="s">
        <v>132</v>
      </c>
      <c r="F42" t="s">
        <v>136</v>
      </c>
    </row>
    <row r="43" spans="1:10">
      <c r="A43">
        <f>Entry!B44</f>
        <v>0</v>
      </c>
      <c r="B43" t="str">
        <f>[1]Entry!A44</f>
        <v>Fe 18</v>
      </c>
      <c r="C43" t="s">
        <v>133</v>
      </c>
      <c r="D43">
        <f>AVERAGE(C41:C43)</f>
        <v>0.30400000000000005</v>
      </c>
      <c r="E43" t="e">
        <f>_xlfn.STDEV.S(C41:C43)</f>
        <v>#DIV/0!</v>
      </c>
      <c r="F43" t="s">
        <v>137</v>
      </c>
      <c r="G43">
        <f>AVERAGE(F41:F43)</f>
        <v>0.16016912000000005</v>
      </c>
      <c r="H43" t="e">
        <f>_xlfn.STDEV.S(F41:F43)</f>
        <v>#DIV/0!</v>
      </c>
      <c r="I43">
        <f t="shared" si="0"/>
        <v>0.52687210526315797</v>
      </c>
      <c r="J43" t="e">
        <f>(SQRT((E43/D43)^2+(H43/G43)^2))*I43</f>
        <v>#DIV/0!</v>
      </c>
    </row>
    <row r="44" spans="1:10">
      <c r="A44">
        <f>Entry!B45</f>
        <v>364</v>
      </c>
      <c r="B44" t="str">
        <f>[1]Entry!A45</f>
        <v>control 1</v>
      </c>
      <c r="C44">
        <f>Results!K44</f>
        <v>0.219</v>
      </c>
      <c r="F44">
        <f>Results!P44</f>
        <v>2.8534984000000055E-2</v>
      </c>
    </row>
    <row r="45" spans="1:10">
      <c r="A45">
        <f>Entry!B46</f>
        <v>365</v>
      </c>
      <c r="B45" t="str">
        <f>[1]Entry!A46</f>
        <v>control 2</v>
      </c>
      <c r="C45">
        <f>Results!K45</f>
        <v>0.24300000000000002</v>
      </c>
      <c r="F45">
        <f>Results!P45</f>
        <v>4.2685847999999964E-2</v>
      </c>
    </row>
    <row r="46" spans="1:10">
      <c r="A46">
        <f>Entry!B47</f>
        <v>366</v>
      </c>
      <c r="B46" t="str">
        <f>[1]Entry!A47</f>
        <v>control 3</v>
      </c>
      <c r="C46">
        <f>Results!K46</f>
        <v>0.27300000000000002</v>
      </c>
      <c r="D46">
        <f>AVERAGE(C44:C460)</f>
        <v>0.35831250000000003</v>
      </c>
      <c r="E46">
        <f>_xlfn.STDEV.S(C44:C46)</f>
        <v>2.7055498516937376E-2</v>
      </c>
      <c r="F46">
        <f>Results!P46</f>
        <v>3.444413600000009E-2</v>
      </c>
      <c r="G46">
        <f>AVERAGE(F44:F46)</f>
        <v>3.5221656000000039E-2</v>
      </c>
      <c r="H46">
        <f>_xlfn.STDEV.S(F44:F46)</f>
        <v>7.1074004389385156E-3</v>
      </c>
      <c r="I46">
        <f t="shared" si="0"/>
        <v>9.8298708529565765E-2</v>
      </c>
      <c r="J46">
        <f>(SQRT((E46/D46)^2+(H46/G46)^2))*I46</f>
        <v>2.1178966219538995E-2</v>
      </c>
    </row>
    <row r="47" spans="1:10">
      <c r="A47">
        <f>Entry!B48</f>
        <v>367</v>
      </c>
      <c r="B47" t="str">
        <f>[1]Entry!A48</f>
        <v>NO3 4</v>
      </c>
      <c r="C47">
        <f>Results!K47</f>
        <v>0.63200000000000012</v>
      </c>
      <c r="F47">
        <f>Results!P47</f>
        <v>1.9749008000000068E-2</v>
      </c>
    </row>
    <row r="48" spans="1:10">
      <c r="A48">
        <f>Entry!B49</f>
        <v>368</v>
      </c>
      <c r="B48" t="str">
        <f>[1]Entry!A49</f>
        <v>NO3 5</v>
      </c>
      <c r="C48">
        <f>Results!K48</f>
        <v>0.80399999999999994</v>
      </c>
      <c r="F48">
        <f>Results!P48</f>
        <v>5.7380976000000243E-2</v>
      </c>
    </row>
    <row r="49" spans="1:10">
      <c r="A49">
        <f>Entry!B50</f>
        <v>369</v>
      </c>
      <c r="B49" t="str">
        <f>[1]Entry!A50</f>
        <v>NO3 6</v>
      </c>
      <c r="C49">
        <f>Results!K49</f>
        <v>0.72800000000000009</v>
      </c>
      <c r="D49">
        <f>AVERAGE(C47:C49)</f>
        <v>0.72133333333333338</v>
      </c>
      <c r="E49">
        <f>_xlfn.STDEV.S(C47:C49)</f>
        <v>8.6193580580767828E-2</v>
      </c>
      <c r="F49">
        <f>Results!P49</f>
        <v>4.8206240000001595E-3</v>
      </c>
      <c r="G49">
        <f>AVERAGE(F47:F49)</f>
        <v>2.7316869333333493E-2</v>
      </c>
      <c r="H49">
        <f>_xlfn.STDEV.S(F47:F49)</f>
        <v>2.7085088969050857E-2</v>
      </c>
      <c r="I49">
        <f t="shared" si="0"/>
        <v>3.7869966728281183E-2</v>
      </c>
      <c r="J49">
        <f>(SQRT((E49/D49)^2+(H49/G49)^2))*I49</f>
        <v>3.7820335470011249E-2</v>
      </c>
    </row>
    <row r="50" spans="1:10">
      <c r="A50">
        <f>Entry!B51</f>
        <v>370</v>
      </c>
      <c r="B50" t="str">
        <f>[1]Entry!A51</f>
        <v>SAMW 7</v>
      </c>
      <c r="C50">
        <f>Results!K50</f>
        <v>0.36800000000000005</v>
      </c>
      <c r="F50">
        <f>Results!P50</f>
        <v>-3.5765920000000027E-2</v>
      </c>
    </row>
    <row r="51" spans="1:10">
      <c r="A51">
        <f>Entry!B52</f>
        <v>371</v>
      </c>
      <c r="B51" t="str">
        <f>[1]Entry!A52</f>
        <v>SAMW 8</v>
      </c>
      <c r="C51">
        <f>Results!K51</f>
        <v>0.39500000000000002</v>
      </c>
      <c r="F51">
        <f>Results!P51</f>
        <v>-3.8176232000000032E-2</v>
      </c>
    </row>
    <row r="52" spans="1:10">
      <c r="A52">
        <f>Entry!B53</f>
        <v>372</v>
      </c>
      <c r="B52" t="str">
        <f>[1]Entry!A53</f>
        <v>SAMW 9</v>
      </c>
      <c r="C52">
        <f>Results!K52</f>
        <v>0.38700000000000001</v>
      </c>
      <c r="D52">
        <f>AVERAGE(C50:C52)</f>
        <v>0.38333333333333336</v>
      </c>
      <c r="E52">
        <f>_xlfn.STDEV.S(C50:C52)</f>
        <v>1.3868429375143128E-2</v>
      </c>
      <c r="F52">
        <f>Results!P52</f>
        <v>-2.9779016000000005E-2</v>
      </c>
      <c r="G52">
        <f>AVERAGE(F50:F52)</f>
        <v>-3.4573722666666688E-2</v>
      </c>
      <c r="H52">
        <f>_xlfn.STDEV.S(F50:F52)</f>
        <v>4.3236917095081442E-3</v>
      </c>
      <c r="I52">
        <f t="shared" si="0"/>
        <v>-9.0192320000000048E-2</v>
      </c>
      <c r="J52">
        <f>(SQRT((E52/D52)^2+(H52/G52)^2))*I52</f>
        <v>-1.1741702683723579E-2</v>
      </c>
    </row>
    <row r="53" spans="1:10">
      <c r="A53">
        <f>Entry!B54</f>
        <v>373</v>
      </c>
      <c r="B53" t="str">
        <f>[1]Entry!A54</f>
        <v>Si 10</v>
      </c>
      <c r="C53">
        <f>Results!K53</f>
        <v>0.255</v>
      </c>
      <c r="F53">
        <f>Results!P53</f>
        <v>3.0090024000000055E-2</v>
      </c>
    </row>
    <row r="54" spans="1:10">
      <c r="A54">
        <f>Entry!B55</f>
        <v>374</v>
      </c>
      <c r="B54" t="str">
        <f>[1]Entry!A55</f>
        <v>Si 11</v>
      </c>
      <c r="C54">
        <f>Results!K54</f>
        <v>0.2</v>
      </c>
      <c r="F54">
        <f>Results!P54</f>
        <v>1.8971487999999981E-2</v>
      </c>
    </row>
    <row r="55" spans="1:10">
      <c r="A55">
        <f>Entry!B56</f>
        <v>375</v>
      </c>
      <c r="B55" t="str">
        <f>[1]Entry!A56</f>
        <v>Si 12</v>
      </c>
      <c r="C55">
        <f>Results!K55</f>
        <v>0.23300000000000001</v>
      </c>
      <c r="D55">
        <f>AVERAGE(C53:C55)</f>
        <v>0.22933333333333336</v>
      </c>
      <c r="E55">
        <f>_xlfn.STDEV.S(C53:C55)</f>
        <v>2.7682726262659413E-2</v>
      </c>
      <c r="F55">
        <f>Results!P55</f>
        <v>3.3511112000000023E-2</v>
      </c>
      <c r="G55">
        <f>AVERAGE(F53:F55)</f>
        <v>2.7524208000000022E-2</v>
      </c>
      <c r="H55">
        <f>_xlfn.STDEV.S(F53:F55)</f>
        <v>7.6018238156863481E-3</v>
      </c>
      <c r="I55">
        <f t="shared" si="0"/>
        <v>0.12001834883720938</v>
      </c>
      <c r="J55">
        <f>(SQRT((E55/D55)^2+(H55/G55)^2))*I55</f>
        <v>3.6175124046203828E-2</v>
      </c>
    </row>
    <row r="56" spans="1:10">
      <c r="A56">
        <f>Entry!B57</f>
        <v>376</v>
      </c>
      <c r="B56" t="str">
        <f>[1]Entry!A57</f>
        <v>Fe + Si 13</v>
      </c>
      <c r="C56">
        <f>Results!K56</f>
        <v>0.25600000000000001</v>
      </c>
      <c r="F56">
        <f>Results!P56</f>
        <v>3.8876000000000036E-2</v>
      </c>
    </row>
    <row r="57" spans="1:10">
      <c r="A57">
        <f>Entry!B58</f>
        <v>377</v>
      </c>
      <c r="B57" t="str">
        <f>[1]Entry!A58</f>
        <v>Fe + Si 14</v>
      </c>
      <c r="C57">
        <f>Results!K57</f>
        <v>0.215</v>
      </c>
      <c r="F57">
        <f>Results!P57</f>
        <v>2.5580408000000034E-2</v>
      </c>
    </row>
    <row r="58" spans="1:10">
      <c r="A58">
        <f>Entry!B59</f>
        <v>378</v>
      </c>
      <c r="B58" t="str">
        <f>[1]Entry!A59</f>
        <v>Fe + Si 15</v>
      </c>
      <c r="C58">
        <f>Results!K58</f>
        <v>0.21600000000000003</v>
      </c>
      <c r="D58">
        <f>AVERAGE(C56:C58)</f>
        <v>0.22900000000000001</v>
      </c>
      <c r="E58">
        <f>_xlfn.STDEV.S(C56:C58)</f>
        <v>2.3388031127052997E-2</v>
      </c>
      <c r="F58">
        <f>Results!P58</f>
        <v>2.363660799999999E-2</v>
      </c>
      <c r="G58">
        <f>AVERAGE(F56:F58)</f>
        <v>2.9364338666666687E-2</v>
      </c>
      <c r="H58">
        <f>_xlfn.STDEV.S(F56:F58)</f>
        <v>8.2944780185386906E-3</v>
      </c>
      <c r="I58">
        <f t="shared" si="0"/>
        <v>0.12822855312954884</v>
      </c>
      <c r="J58">
        <f>(SQRT((E58/D58)^2+(H58/G58)^2))*I58</f>
        <v>3.8515295459217086E-2</v>
      </c>
    </row>
    <row r="59" spans="1:10">
      <c r="A59">
        <f>Entry!B60</f>
        <v>379</v>
      </c>
      <c r="B59" t="str">
        <f>[1]Entry!A60</f>
        <v>Fe 16</v>
      </c>
      <c r="C59">
        <f>Results!K59</f>
        <v>0.309</v>
      </c>
      <c r="F59">
        <f>Results!P59</f>
        <v>3.5999176000000098E-2</v>
      </c>
    </row>
    <row r="60" spans="1:10">
      <c r="A60">
        <f>Entry!B61</f>
        <v>0</v>
      </c>
      <c r="B60" t="str">
        <f>[1]Entry!A61</f>
        <v>Fe 17</v>
      </c>
      <c r="C60" t="s">
        <v>134</v>
      </c>
      <c r="F60" t="s">
        <v>138</v>
      </c>
    </row>
    <row r="61" spans="1:10">
      <c r="A61">
        <f>Entry!B62</f>
        <v>0</v>
      </c>
      <c r="B61" t="str">
        <f>[1]Entry!A62</f>
        <v>Fe 18</v>
      </c>
      <c r="C61" t="s">
        <v>135</v>
      </c>
      <c r="D61">
        <f>AVERAGE(C59:C61)</f>
        <v>0.309</v>
      </c>
      <c r="E61" t="e">
        <f>_xlfn.STDEV.S(C59:C61)</f>
        <v>#DIV/0!</v>
      </c>
      <c r="F61" t="s">
        <v>139</v>
      </c>
      <c r="G61">
        <f>AVERAGE(F59:F61)</f>
        <v>3.5999176000000098E-2</v>
      </c>
      <c r="H61" t="e">
        <f>_xlfn.STDEV.S(F59:F61)</f>
        <v>#DIV/0!</v>
      </c>
      <c r="I61">
        <f t="shared" si="0"/>
        <v>0.1165021877022657</v>
      </c>
      <c r="J61" t="e">
        <f>(SQRT((E61/D61)^2+(H61/G61)^2))*I61</f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6" zoomScale="79" zoomScaleNormal="79" workbookViewId="0">
      <selection activeCell="C4" sqref="C4"/>
    </sheetView>
  </sheetViews>
  <sheetFormatPr defaultRowHeight="12.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</vt:vector>
  </HeadingPairs>
  <TitlesOfParts>
    <vt:vector size="8" baseType="lpstr">
      <vt:lpstr>Entry</vt:lpstr>
      <vt:lpstr>Results</vt:lpstr>
      <vt:lpstr>simbios</vt:lpstr>
      <vt:lpstr>stn info</vt:lpstr>
      <vt:lpstr>stats and calculations</vt:lpstr>
      <vt:lpstr>mean chl vs time</vt:lpstr>
      <vt:lpstr>mean phaeo vs time</vt:lpstr>
      <vt:lpstr>mean phaeo ovr chl vs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2020-02-22T11:41:07Z</dcterms:modified>
</cp:coreProperties>
</file>