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 codeName="ThisWorkbook"/>
  <bookViews>
    <workbookView xWindow="0" yWindow="0" windowWidth="19200" windowHeight="8445" firstSheet="4" activeTab="7"/>
  </bookViews>
  <sheets>
    <sheet name="Entry" sheetId="2" r:id="rId1"/>
    <sheet name="Results" sheetId="1" r:id="rId2"/>
    <sheet name="simbios" sheetId="3" r:id="rId3"/>
    <sheet name="stn info" sheetId="4" r:id="rId4"/>
    <sheet name="stats &amp; calculations" sheetId="5" r:id="rId5"/>
    <sheet name="Mean chl vs time plot" sheetId="10" r:id="rId6"/>
    <sheet name="Mean Phaeo vs time plot" sheetId="18" r:id="rId7"/>
    <sheet name="Mean Phaeo ovr Chl plot" sheetId="19" r:id="rId8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2" l="1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I45" i="2"/>
  <c r="H45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H39" i="2"/>
  <c r="H40" i="2"/>
  <c r="H41" i="2"/>
  <c r="H42" i="2"/>
  <c r="H43" i="2"/>
  <c r="H44" i="2"/>
  <c r="H28" i="2"/>
  <c r="H29" i="2"/>
  <c r="H30" i="2"/>
  <c r="H31" i="2"/>
  <c r="H32" i="2"/>
  <c r="H33" i="2"/>
  <c r="H34" i="2"/>
  <c r="H35" i="2"/>
  <c r="H36" i="2"/>
  <c r="H37" i="2"/>
  <c r="H38" i="2"/>
  <c r="I27" i="2"/>
  <c r="H2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I9" i="2"/>
  <c r="H7" i="2"/>
  <c r="H8" i="2"/>
  <c r="I7" i="2"/>
  <c r="I8" i="2"/>
  <c r="I6" i="2"/>
  <c r="H6" i="2"/>
  <c r="H9" i="2"/>
  <c r="I5" i="2"/>
  <c r="I4" i="2"/>
  <c r="H5" i="2"/>
  <c r="H4" i="2"/>
  <c r="I3" i="2"/>
  <c r="H3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2" i="1"/>
  <c r="AE3" i="5"/>
  <c r="AE21" i="5"/>
  <c r="AE4" i="5"/>
  <c r="AE22" i="5"/>
  <c r="AE5" i="5"/>
  <c r="AE23" i="5"/>
  <c r="AD3" i="5"/>
  <c r="AD21" i="5"/>
  <c r="AD4" i="5"/>
  <c r="AD22" i="5"/>
  <c r="AD5" i="5"/>
  <c r="AD23" i="5"/>
  <c r="AC3" i="5"/>
  <c r="AC21" i="5"/>
  <c r="AC4" i="5"/>
  <c r="AC22" i="5"/>
  <c r="AC5" i="5"/>
  <c r="AC23" i="5"/>
  <c r="AB3" i="5"/>
  <c r="AB21" i="5"/>
  <c r="AB4" i="5"/>
  <c r="AB22" i="5"/>
  <c r="AB5" i="5"/>
  <c r="AB23" i="5"/>
  <c r="AA3" i="5"/>
  <c r="AA21" i="5"/>
  <c r="AA4" i="5"/>
  <c r="AA22" i="5"/>
  <c r="AA5" i="5"/>
  <c r="AA23" i="5"/>
  <c r="Z3" i="5"/>
  <c r="Z21" i="5"/>
  <c r="Z4" i="5"/>
  <c r="Z22" i="5"/>
  <c r="Z5" i="5"/>
  <c r="Z23" i="5"/>
  <c r="AE2" i="5"/>
  <c r="AE20" i="5"/>
  <c r="AD2" i="5"/>
  <c r="AD20" i="5"/>
  <c r="AC2" i="5"/>
  <c r="AC20" i="5"/>
  <c r="AB2" i="5"/>
  <c r="AB20" i="5"/>
  <c r="AA2" i="5"/>
  <c r="AA20" i="5"/>
  <c r="Z2" i="5"/>
  <c r="Z20" i="5"/>
  <c r="AE12" i="5"/>
  <c r="AE13" i="5"/>
  <c r="AE14" i="5"/>
  <c r="AD12" i="5"/>
  <c r="AD13" i="5"/>
  <c r="AD14" i="5"/>
  <c r="AC12" i="5"/>
  <c r="AC13" i="5"/>
  <c r="AC14" i="5"/>
  <c r="AB12" i="5"/>
  <c r="AB13" i="5"/>
  <c r="AB14" i="5"/>
  <c r="AE11" i="5"/>
  <c r="AD11" i="5"/>
  <c r="AC11" i="5"/>
  <c r="AB11" i="5"/>
  <c r="AA12" i="5"/>
  <c r="AA13" i="5"/>
  <c r="AA14" i="5"/>
  <c r="AA11" i="5"/>
  <c r="Z12" i="5"/>
  <c r="Z13" i="5"/>
  <c r="Z14" i="5"/>
  <c r="Z11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2" i="5"/>
  <c r="A61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2" i="5"/>
  <c r="G20" i="1"/>
  <c r="K20" i="1"/>
  <c r="C20" i="5"/>
  <c r="G21" i="1"/>
  <c r="K21" i="1"/>
  <c r="C21" i="5"/>
  <c r="G22" i="1"/>
  <c r="K22" i="1"/>
  <c r="C22" i="5"/>
  <c r="G23" i="1"/>
  <c r="K23" i="1"/>
  <c r="C23" i="5"/>
  <c r="G24" i="1"/>
  <c r="K24" i="1"/>
  <c r="C24" i="5"/>
  <c r="G25" i="1"/>
  <c r="K25" i="1"/>
  <c r="C25" i="5"/>
  <c r="G26" i="1"/>
  <c r="K26" i="1"/>
  <c r="C26" i="5"/>
  <c r="G27" i="1"/>
  <c r="K27" i="1"/>
  <c r="C27" i="5"/>
  <c r="G28" i="1"/>
  <c r="K28" i="1"/>
  <c r="C28" i="5"/>
  <c r="G29" i="1"/>
  <c r="K29" i="1"/>
  <c r="C29" i="5"/>
  <c r="G30" i="1"/>
  <c r="K30" i="1"/>
  <c r="C30" i="5"/>
  <c r="G31" i="1"/>
  <c r="K31" i="1"/>
  <c r="C31" i="5"/>
  <c r="G32" i="1"/>
  <c r="K32" i="1"/>
  <c r="C32" i="5"/>
  <c r="G33" i="1"/>
  <c r="K33" i="1"/>
  <c r="C33" i="5"/>
  <c r="G34" i="1"/>
  <c r="K34" i="1"/>
  <c r="C34" i="5"/>
  <c r="G35" i="1"/>
  <c r="K35" i="1"/>
  <c r="C35" i="5"/>
  <c r="G36" i="1"/>
  <c r="K36" i="1"/>
  <c r="C36" i="5"/>
  <c r="G37" i="1"/>
  <c r="K37" i="1"/>
  <c r="C37" i="5"/>
  <c r="G38" i="1"/>
  <c r="K38" i="1"/>
  <c r="C38" i="5"/>
  <c r="G39" i="1"/>
  <c r="K39" i="1"/>
  <c r="C39" i="5"/>
  <c r="G40" i="1"/>
  <c r="K40" i="1"/>
  <c r="C40" i="5"/>
  <c r="G41" i="1"/>
  <c r="K41" i="1"/>
  <c r="C41" i="5"/>
  <c r="G42" i="1"/>
  <c r="K42" i="1"/>
  <c r="C42" i="5"/>
  <c r="G43" i="1"/>
  <c r="K43" i="1"/>
  <c r="C43" i="5"/>
  <c r="G44" i="1"/>
  <c r="K44" i="1"/>
  <c r="C44" i="5"/>
  <c r="G45" i="1"/>
  <c r="K45" i="1"/>
  <c r="C45" i="5"/>
  <c r="G46" i="1"/>
  <c r="K46" i="1"/>
  <c r="C46" i="5"/>
  <c r="G47" i="1"/>
  <c r="K47" i="1"/>
  <c r="C47" i="5"/>
  <c r="G48" i="1"/>
  <c r="K48" i="1"/>
  <c r="C48" i="5"/>
  <c r="G49" i="1"/>
  <c r="K49" i="1"/>
  <c r="C49" i="5"/>
  <c r="G50" i="1"/>
  <c r="K50" i="1"/>
  <c r="C50" i="5"/>
  <c r="G51" i="1"/>
  <c r="K51" i="1"/>
  <c r="C51" i="5"/>
  <c r="G52" i="1"/>
  <c r="K52" i="1"/>
  <c r="C52" i="5"/>
  <c r="G53" i="1"/>
  <c r="K53" i="1"/>
  <c r="C53" i="5"/>
  <c r="G54" i="1"/>
  <c r="K54" i="1"/>
  <c r="C54" i="5"/>
  <c r="G55" i="1"/>
  <c r="K55" i="1"/>
  <c r="C55" i="5"/>
  <c r="G56" i="1"/>
  <c r="K56" i="1"/>
  <c r="C56" i="5"/>
  <c r="G57" i="1"/>
  <c r="K57" i="1"/>
  <c r="C57" i="5"/>
  <c r="G58" i="1"/>
  <c r="K58" i="1"/>
  <c r="C58" i="5"/>
  <c r="G59" i="1"/>
  <c r="K59" i="1"/>
  <c r="C59" i="5"/>
  <c r="G60" i="1"/>
  <c r="K60" i="1"/>
  <c r="C60" i="5"/>
  <c r="G61" i="1"/>
  <c r="K61" i="1"/>
  <c r="C61" i="5"/>
  <c r="G19" i="1"/>
  <c r="K19" i="1"/>
  <c r="C19" i="5"/>
  <c r="G15" i="1"/>
  <c r="K15" i="1"/>
  <c r="C15" i="5"/>
  <c r="G16" i="1"/>
  <c r="K16" i="1"/>
  <c r="C16" i="5"/>
  <c r="G17" i="1"/>
  <c r="K17" i="1"/>
  <c r="C17" i="5"/>
  <c r="G10" i="1"/>
  <c r="K10" i="1"/>
  <c r="C10" i="5"/>
  <c r="G11" i="1"/>
  <c r="K11" i="1"/>
  <c r="C11" i="5"/>
  <c r="G12" i="1"/>
  <c r="K12" i="1"/>
  <c r="C12" i="5"/>
  <c r="G9" i="1"/>
  <c r="K9" i="1"/>
  <c r="C9" i="5"/>
  <c r="G3" i="1"/>
  <c r="K3" i="1"/>
  <c r="C3" i="5"/>
  <c r="G4" i="1"/>
  <c r="K4" i="1"/>
  <c r="C4" i="5"/>
  <c r="G5" i="1"/>
  <c r="K5" i="1"/>
  <c r="C5" i="5"/>
  <c r="G6" i="1"/>
  <c r="K6" i="1"/>
  <c r="C6" i="5"/>
  <c r="G7" i="1"/>
  <c r="K7" i="1"/>
  <c r="C7" i="5"/>
  <c r="G2" i="1"/>
  <c r="K2" i="1"/>
  <c r="C2" i="5"/>
  <c r="H3" i="1"/>
  <c r="P3" i="1"/>
  <c r="F3" i="5"/>
  <c r="H4" i="1"/>
  <c r="P4" i="1"/>
  <c r="F4" i="5"/>
  <c r="H5" i="1"/>
  <c r="P5" i="1"/>
  <c r="F5" i="5"/>
  <c r="H6" i="1"/>
  <c r="P6" i="1"/>
  <c r="F6" i="5"/>
  <c r="H7" i="1"/>
  <c r="P7" i="1"/>
  <c r="F7" i="5"/>
  <c r="G8" i="1"/>
  <c r="H8" i="1"/>
  <c r="P8" i="1"/>
  <c r="F8" i="5"/>
  <c r="H9" i="1"/>
  <c r="P9" i="1"/>
  <c r="F9" i="5"/>
  <c r="H10" i="1"/>
  <c r="P10" i="1"/>
  <c r="F10" i="5"/>
  <c r="H11" i="1"/>
  <c r="P11" i="1"/>
  <c r="F11" i="5"/>
  <c r="H12" i="1"/>
  <c r="P12" i="1"/>
  <c r="F12" i="5"/>
  <c r="G13" i="1"/>
  <c r="H13" i="1"/>
  <c r="P13" i="1"/>
  <c r="F13" i="5"/>
  <c r="G14" i="1"/>
  <c r="H14" i="1"/>
  <c r="P14" i="1"/>
  <c r="F14" i="5"/>
  <c r="H15" i="1"/>
  <c r="P15" i="1"/>
  <c r="F15" i="5"/>
  <c r="H16" i="1"/>
  <c r="P16" i="1"/>
  <c r="F16" i="5"/>
  <c r="H17" i="1"/>
  <c r="P17" i="1"/>
  <c r="F17" i="5"/>
  <c r="G18" i="1"/>
  <c r="H18" i="1"/>
  <c r="P18" i="1"/>
  <c r="F18" i="5"/>
  <c r="H19" i="1"/>
  <c r="P19" i="1"/>
  <c r="F19" i="5"/>
  <c r="H20" i="1"/>
  <c r="P20" i="1"/>
  <c r="F20" i="5"/>
  <c r="H21" i="1"/>
  <c r="P21" i="1"/>
  <c r="F21" i="5"/>
  <c r="H22" i="1"/>
  <c r="P22" i="1"/>
  <c r="F22" i="5"/>
  <c r="H23" i="1"/>
  <c r="P23" i="1"/>
  <c r="F23" i="5"/>
  <c r="H24" i="1"/>
  <c r="P24" i="1"/>
  <c r="F24" i="5"/>
  <c r="H25" i="1"/>
  <c r="P25" i="1"/>
  <c r="F25" i="5"/>
  <c r="H26" i="1"/>
  <c r="P26" i="1"/>
  <c r="F26" i="5"/>
  <c r="H27" i="1"/>
  <c r="P27" i="1"/>
  <c r="F27" i="5"/>
  <c r="H28" i="1"/>
  <c r="P28" i="1"/>
  <c r="F28" i="5"/>
  <c r="H29" i="1"/>
  <c r="P29" i="1"/>
  <c r="F29" i="5"/>
  <c r="H30" i="1"/>
  <c r="P30" i="1"/>
  <c r="F30" i="5"/>
  <c r="H31" i="1"/>
  <c r="P31" i="1"/>
  <c r="F31" i="5"/>
  <c r="H32" i="1"/>
  <c r="P32" i="1"/>
  <c r="F32" i="5"/>
  <c r="H33" i="1"/>
  <c r="P33" i="1"/>
  <c r="F33" i="5"/>
  <c r="H34" i="1"/>
  <c r="P34" i="1"/>
  <c r="F34" i="5"/>
  <c r="H35" i="1"/>
  <c r="P35" i="1"/>
  <c r="F35" i="5"/>
  <c r="H36" i="1"/>
  <c r="P36" i="1"/>
  <c r="F36" i="5"/>
  <c r="H37" i="1"/>
  <c r="P37" i="1"/>
  <c r="F37" i="5"/>
  <c r="H38" i="1"/>
  <c r="P38" i="1"/>
  <c r="F38" i="5"/>
  <c r="H39" i="1"/>
  <c r="P39" i="1"/>
  <c r="F39" i="5"/>
  <c r="H40" i="1"/>
  <c r="P40" i="1"/>
  <c r="F40" i="5"/>
  <c r="H41" i="1"/>
  <c r="P41" i="1"/>
  <c r="F41" i="5"/>
  <c r="H42" i="1"/>
  <c r="P42" i="1"/>
  <c r="F42" i="5"/>
  <c r="H43" i="1"/>
  <c r="P43" i="1"/>
  <c r="F43" i="5"/>
  <c r="H44" i="1"/>
  <c r="P44" i="1"/>
  <c r="F44" i="5"/>
  <c r="H45" i="1"/>
  <c r="P45" i="1"/>
  <c r="F45" i="5"/>
  <c r="H46" i="1"/>
  <c r="P46" i="1"/>
  <c r="F46" i="5"/>
  <c r="H47" i="1"/>
  <c r="P47" i="1"/>
  <c r="F47" i="5"/>
  <c r="H48" i="1"/>
  <c r="P48" i="1"/>
  <c r="F48" i="5"/>
  <c r="H49" i="1"/>
  <c r="P49" i="1"/>
  <c r="F49" i="5"/>
  <c r="H50" i="1"/>
  <c r="P50" i="1"/>
  <c r="F50" i="5"/>
  <c r="H51" i="1"/>
  <c r="P51" i="1"/>
  <c r="F51" i="5"/>
  <c r="H52" i="1"/>
  <c r="P52" i="1"/>
  <c r="F52" i="5"/>
  <c r="H53" i="1"/>
  <c r="P53" i="1"/>
  <c r="F53" i="5"/>
  <c r="H54" i="1"/>
  <c r="P54" i="1"/>
  <c r="F54" i="5"/>
  <c r="H55" i="1"/>
  <c r="P55" i="1"/>
  <c r="F55" i="5"/>
  <c r="H56" i="1"/>
  <c r="P56" i="1"/>
  <c r="F56" i="5"/>
  <c r="H57" i="1"/>
  <c r="P57" i="1"/>
  <c r="F57" i="5"/>
  <c r="H58" i="1"/>
  <c r="P58" i="1"/>
  <c r="F58" i="5"/>
  <c r="H59" i="1"/>
  <c r="P59" i="1"/>
  <c r="F59" i="5"/>
  <c r="H60" i="1"/>
  <c r="P60" i="1"/>
  <c r="F60" i="5"/>
  <c r="H61" i="1"/>
  <c r="P61" i="1"/>
  <c r="F61" i="5"/>
  <c r="H2" i="1"/>
  <c r="J2" i="1"/>
  <c r="P2" i="1"/>
  <c r="F2" i="5"/>
  <c r="K8" i="1"/>
  <c r="K13" i="1"/>
  <c r="K14" i="1"/>
  <c r="K1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O2" i="1"/>
  <c r="Q2" i="1"/>
  <c r="M61" i="1"/>
  <c r="M58" i="1"/>
  <c r="M55" i="1"/>
  <c r="M52" i="1"/>
  <c r="M49" i="1"/>
  <c r="M46" i="1"/>
  <c r="M43" i="1"/>
  <c r="M40" i="1"/>
  <c r="M37" i="1"/>
  <c r="M34" i="1"/>
  <c r="M31" i="1"/>
  <c r="M28" i="1"/>
  <c r="M25" i="1"/>
  <c r="M22" i="1"/>
  <c r="M19" i="1"/>
  <c r="M16" i="1"/>
  <c r="M13" i="1"/>
  <c r="M10" i="1"/>
  <c r="M7" i="1"/>
  <c r="N61" i="1"/>
  <c r="N58" i="1"/>
  <c r="N55" i="1"/>
  <c r="N52" i="1"/>
  <c r="N49" i="1"/>
  <c r="N46" i="1"/>
  <c r="N43" i="1"/>
  <c r="N40" i="1"/>
  <c r="N37" i="1"/>
  <c r="N34" i="1"/>
  <c r="N31" i="1"/>
  <c r="N28" i="1"/>
  <c r="N25" i="1"/>
  <c r="N22" i="1"/>
  <c r="N19" i="1"/>
  <c r="N16" i="1"/>
  <c r="N13" i="1"/>
  <c r="L2" i="1"/>
  <c r="N4" i="1"/>
  <c r="M4" i="1"/>
  <c r="H49" i="5"/>
  <c r="R14" i="5"/>
  <c r="E22" i="5"/>
  <c r="X20" i="5"/>
  <c r="D22" i="5"/>
  <c r="W20" i="5"/>
  <c r="V20" i="5"/>
  <c r="U20" i="5"/>
  <c r="T20" i="5"/>
  <c r="S20" i="5"/>
  <c r="R20" i="5"/>
  <c r="Q20" i="5"/>
  <c r="E13" i="5"/>
  <c r="X11" i="5"/>
  <c r="D13" i="5"/>
  <c r="W11" i="5"/>
  <c r="V11" i="5"/>
  <c r="U11" i="5"/>
  <c r="T11" i="5"/>
  <c r="S11" i="5"/>
  <c r="R11" i="5"/>
  <c r="Q11" i="5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D7" i="2"/>
  <c r="D6" i="2"/>
  <c r="D5" i="2"/>
  <c r="D4" i="2"/>
  <c r="D3" i="2"/>
  <c r="D9" i="2"/>
  <c r="E4" i="5"/>
  <c r="X2" i="5"/>
  <c r="V2" i="5"/>
  <c r="T2" i="5"/>
  <c r="R2" i="5"/>
  <c r="N2" i="5"/>
  <c r="D4" i="5"/>
  <c r="W2" i="5"/>
  <c r="U2" i="5"/>
  <c r="S2" i="5"/>
  <c r="Q2" i="5"/>
  <c r="M2" i="5"/>
  <c r="E16" i="5"/>
  <c r="P3" i="5"/>
  <c r="G4" i="5"/>
  <c r="I4" i="5"/>
  <c r="E61" i="5"/>
  <c r="D61" i="5"/>
  <c r="H61" i="5"/>
  <c r="G61" i="5"/>
  <c r="I61" i="5"/>
  <c r="J61" i="5"/>
  <c r="X23" i="5"/>
  <c r="E43" i="5"/>
  <c r="D43" i="5"/>
  <c r="H43" i="5"/>
  <c r="G43" i="5"/>
  <c r="I43" i="5"/>
  <c r="J43" i="5"/>
  <c r="X22" i="5"/>
  <c r="E25" i="5"/>
  <c r="D25" i="5"/>
  <c r="H25" i="5"/>
  <c r="G25" i="5"/>
  <c r="I25" i="5"/>
  <c r="J25" i="5"/>
  <c r="X21" i="5"/>
  <c r="X14" i="5"/>
  <c r="X13" i="5"/>
  <c r="X12" i="5"/>
  <c r="X5" i="5"/>
  <c r="X4" i="5"/>
  <c r="X3" i="5"/>
  <c r="E58" i="5"/>
  <c r="D58" i="5"/>
  <c r="H58" i="5"/>
  <c r="G58" i="5"/>
  <c r="I58" i="5"/>
  <c r="J58" i="5"/>
  <c r="V23" i="5"/>
  <c r="E40" i="5"/>
  <c r="D40" i="5"/>
  <c r="H40" i="5"/>
  <c r="G40" i="5"/>
  <c r="I40" i="5"/>
  <c r="J40" i="5"/>
  <c r="V22" i="5"/>
  <c r="H22" i="5"/>
  <c r="G22" i="5"/>
  <c r="I22" i="5"/>
  <c r="J22" i="5"/>
  <c r="V21" i="5"/>
  <c r="V14" i="5"/>
  <c r="V13" i="5"/>
  <c r="V12" i="5"/>
  <c r="V5" i="5"/>
  <c r="V4" i="5"/>
  <c r="V3" i="5"/>
  <c r="E55" i="5"/>
  <c r="D55" i="5"/>
  <c r="H55" i="5"/>
  <c r="G55" i="5"/>
  <c r="I55" i="5"/>
  <c r="J55" i="5"/>
  <c r="T23" i="5"/>
  <c r="E37" i="5"/>
  <c r="D37" i="5"/>
  <c r="H37" i="5"/>
  <c r="G37" i="5"/>
  <c r="I37" i="5"/>
  <c r="J37" i="5"/>
  <c r="T22" i="5"/>
  <c r="E19" i="5"/>
  <c r="D19" i="5"/>
  <c r="G19" i="5"/>
  <c r="I19" i="5"/>
  <c r="H19" i="5"/>
  <c r="J19" i="5"/>
  <c r="T21" i="5"/>
  <c r="T14" i="5"/>
  <c r="T13" i="5"/>
  <c r="T12" i="5"/>
  <c r="T5" i="5"/>
  <c r="T4" i="5"/>
  <c r="T3" i="5"/>
  <c r="E49" i="5"/>
  <c r="D49" i="5"/>
  <c r="G49" i="5"/>
  <c r="I49" i="5"/>
  <c r="J49" i="5"/>
  <c r="R23" i="5"/>
  <c r="E31" i="5"/>
  <c r="D31" i="5"/>
  <c r="H31" i="5"/>
  <c r="G31" i="5"/>
  <c r="I31" i="5"/>
  <c r="J31" i="5"/>
  <c r="R22" i="5"/>
  <c r="G13" i="5"/>
  <c r="I13" i="5"/>
  <c r="H13" i="5"/>
  <c r="J13" i="5"/>
  <c r="R21" i="5"/>
  <c r="R13" i="5"/>
  <c r="R12" i="5"/>
  <c r="R5" i="5"/>
  <c r="R4" i="5"/>
  <c r="R3" i="5"/>
  <c r="E52" i="5"/>
  <c r="D52" i="5"/>
  <c r="H52" i="5"/>
  <c r="G52" i="5"/>
  <c r="I52" i="5"/>
  <c r="J52" i="5"/>
  <c r="P23" i="5"/>
  <c r="E34" i="5"/>
  <c r="D34" i="5"/>
  <c r="H34" i="5"/>
  <c r="G34" i="5"/>
  <c r="I34" i="5"/>
  <c r="J34" i="5"/>
  <c r="P22" i="5"/>
  <c r="D16" i="5"/>
  <c r="H16" i="5"/>
  <c r="G16" i="5"/>
  <c r="I16" i="5"/>
  <c r="J16" i="5"/>
  <c r="P21" i="5"/>
  <c r="E7" i="5"/>
  <c r="D7" i="5"/>
  <c r="H7" i="5"/>
  <c r="G7" i="5"/>
  <c r="I7" i="5"/>
  <c r="J7" i="5"/>
  <c r="P20" i="5"/>
  <c r="P14" i="5"/>
  <c r="P13" i="5"/>
  <c r="P12" i="5"/>
  <c r="P11" i="5"/>
  <c r="P5" i="5"/>
  <c r="P4" i="5"/>
  <c r="P2" i="5"/>
  <c r="E46" i="5"/>
  <c r="D46" i="5"/>
  <c r="H46" i="5"/>
  <c r="G46" i="5"/>
  <c r="I46" i="5"/>
  <c r="J46" i="5"/>
  <c r="N23" i="5"/>
  <c r="E28" i="5"/>
  <c r="D28" i="5"/>
  <c r="H28" i="5"/>
  <c r="G28" i="5"/>
  <c r="I28" i="5"/>
  <c r="J28" i="5"/>
  <c r="N22" i="5"/>
  <c r="E10" i="5"/>
  <c r="D10" i="5"/>
  <c r="H10" i="5"/>
  <c r="G10" i="5"/>
  <c r="I10" i="5"/>
  <c r="J10" i="5"/>
  <c r="N21" i="5"/>
  <c r="H4" i="5"/>
  <c r="J4" i="5"/>
  <c r="N20" i="5"/>
  <c r="N14" i="5"/>
  <c r="N13" i="5"/>
  <c r="N12" i="5"/>
  <c r="N11" i="5"/>
  <c r="N5" i="5"/>
  <c r="N4" i="5"/>
  <c r="N3" i="5"/>
  <c r="O11" i="5"/>
  <c r="W23" i="5"/>
  <c r="W22" i="5"/>
  <c r="W21" i="5"/>
  <c r="U23" i="5"/>
  <c r="U22" i="5"/>
  <c r="U21" i="5"/>
  <c r="S23" i="5"/>
  <c r="S22" i="5"/>
  <c r="S21" i="5"/>
  <c r="Q23" i="5"/>
  <c r="Q22" i="5"/>
  <c r="Q21" i="5"/>
  <c r="O23" i="5"/>
  <c r="O22" i="5"/>
  <c r="O20" i="5"/>
  <c r="O21" i="5"/>
  <c r="M23" i="5"/>
  <c r="M22" i="5"/>
  <c r="M21" i="5"/>
  <c r="M20" i="5"/>
  <c r="W14" i="5"/>
  <c r="W13" i="5"/>
  <c r="W12" i="5"/>
  <c r="U14" i="5"/>
  <c r="U13" i="5"/>
  <c r="U12" i="5"/>
  <c r="S14" i="5"/>
  <c r="S13" i="5"/>
  <c r="S12" i="5"/>
  <c r="Q14" i="5"/>
  <c r="Q13" i="5"/>
  <c r="Q12" i="5"/>
  <c r="O14" i="5"/>
  <c r="O13" i="5"/>
  <c r="O12" i="5"/>
  <c r="M14" i="5"/>
  <c r="M13" i="5"/>
  <c r="M12" i="5"/>
  <c r="M11" i="5"/>
  <c r="W5" i="5"/>
  <c r="W4" i="5"/>
  <c r="W3" i="5"/>
  <c r="U5" i="5"/>
  <c r="U4" i="5"/>
  <c r="U3" i="5"/>
  <c r="S5" i="5"/>
  <c r="S4" i="5"/>
  <c r="S3" i="5"/>
  <c r="Q5" i="5"/>
  <c r="Q4" i="5"/>
  <c r="Q3" i="5"/>
  <c r="O5" i="5"/>
  <c r="O4" i="5"/>
  <c r="O3" i="5"/>
  <c r="O2" i="5"/>
  <c r="M5" i="5"/>
  <c r="M4" i="5"/>
  <c r="M3" i="5"/>
  <c r="D11" i="1"/>
  <c r="D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2" i="1"/>
  <c r="B48" i="3"/>
  <c r="A1" i="4"/>
  <c r="D45" i="3"/>
  <c r="D57" i="3"/>
  <c r="C57" i="3"/>
  <c r="D55" i="3"/>
  <c r="C55" i="3"/>
  <c r="B7" i="4"/>
  <c r="C6" i="4"/>
  <c r="C44" i="3"/>
  <c r="D43" i="3"/>
  <c r="B4" i="4"/>
  <c r="B3" i="4"/>
  <c r="C2" i="4"/>
  <c r="C35" i="3"/>
  <c r="B1" i="4"/>
  <c r="A2" i="4"/>
  <c r="B57" i="3"/>
  <c r="B54" i="3"/>
  <c r="B51" i="3"/>
  <c r="B45" i="3"/>
  <c r="B40" i="3"/>
  <c r="B39" i="3"/>
  <c r="B37" i="3"/>
  <c r="B36" i="3"/>
  <c r="B33" i="3"/>
  <c r="F33" i="3"/>
  <c r="F34" i="3"/>
  <c r="F32" i="3"/>
  <c r="B58" i="3"/>
  <c r="B53" i="3"/>
  <c r="B52" i="3"/>
  <c r="B50" i="3"/>
  <c r="B49" i="3"/>
  <c r="B47" i="3"/>
  <c r="B46" i="3"/>
  <c r="B44" i="3"/>
  <c r="B43" i="3"/>
  <c r="B42" i="3"/>
  <c r="B41" i="3"/>
  <c r="B38" i="3"/>
  <c r="B35" i="3"/>
  <c r="B34" i="3"/>
  <c r="B32" i="3"/>
  <c r="B56" i="3"/>
  <c r="B55" i="3"/>
  <c r="A33" i="3"/>
  <c r="D56" i="3"/>
  <c r="D53" i="3"/>
  <c r="D54" i="3"/>
  <c r="C8" i="4"/>
  <c r="C58" i="3"/>
  <c r="B9" i="4"/>
  <c r="C56" i="3"/>
  <c r="C52" i="3"/>
  <c r="A32" i="3"/>
  <c r="A20" i="3"/>
  <c r="A6" i="3"/>
  <c r="A38" i="3"/>
  <c r="D36" i="3"/>
  <c r="C43" i="3"/>
  <c r="C42" i="3"/>
  <c r="B2" i="4"/>
  <c r="C37" i="3"/>
  <c r="F35" i="3"/>
  <c r="F36" i="3"/>
  <c r="F37" i="3"/>
  <c r="A54" i="3"/>
  <c r="F44" i="3"/>
  <c r="A48" i="3"/>
  <c r="A43" i="3"/>
  <c r="A14" i="3"/>
  <c r="D48" i="3"/>
  <c r="D49" i="3"/>
  <c r="D47" i="3"/>
  <c r="D44" i="3"/>
  <c r="D46" i="3"/>
  <c r="C5" i="4"/>
  <c r="D41" i="3"/>
  <c r="C45" i="3"/>
  <c r="C46" i="3"/>
  <c r="C41" i="3"/>
  <c r="C38" i="3"/>
  <c r="C40" i="3"/>
  <c r="C39" i="3"/>
  <c r="C36" i="3"/>
  <c r="C33" i="3"/>
  <c r="C34" i="3"/>
  <c r="A55" i="3"/>
  <c r="A50" i="3"/>
  <c r="A44" i="3"/>
  <c r="A39" i="3"/>
  <c r="A34" i="3"/>
  <c r="A58" i="3"/>
  <c r="A52" i="3"/>
  <c r="A47" i="3"/>
  <c r="A42" i="3"/>
  <c r="A36" i="3"/>
  <c r="A56" i="3"/>
  <c r="A51" i="3"/>
  <c r="A46" i="3"/>
  <c r="A40" i="3"/>
  <c r="A35" i="3"/>
  <c r="C4" i="4"/>
  <c r="B5" i="4"/>
  <c r="D37" i="3"/>
  <c r="A15" i="3"/>
  <c r="D35" i="3"/>
  <c r="D42" i="3"/>
  <c r="D34" i="3"/>
  <c r="D33" i="3"/>
  <c r="C1" i="4"/>
  <c r="C7" i="4"/>
  <c r="D52" i="3"/>
  <c r="D50" i="3"/>
  <c r="D58" i="3"/>
  <c r="C9" i="4"/>
  <c r="C50" i="3"/>
  <c r="C51" i="3"/>
  <c r="D51" i="3"/>
  <c r="C3" i="4"/>
  <c r="D40" i="3"/>
  <c r="D38" i="3"/>
  <c r="D39" i="3"/>
  <c r="C48" i="3"/>
  <c r="C49" i="3"/>
  <c r="C47" i="3"/>
  <c r="B8" i="4"/>
  <c r="C54" i="3"/>
  <c r="C53" i="3"/>
  <c r="B6" i="4"/>
  <c r="A57" i="3"/>
  <c r="A53" i="3"/>
  <c r="A49" i="3"/>
  <c r="A45" i="3"/>
  <c r="A41" i="3"/>
  <c r="F45" i="3"/>
  <c r="F39" i="3"/>
  <c r="A5" i="4"/>
  <c r="A4" i="4"/>
  <c r="F40" i="3"/>
  <c r="F41" i="3"/>
  <c r="F46" i="3"/>
  <c r="F38" i="3"/>
  <c r="A3" i="4"/>
  <c r="F43" i="3"/>
  <c r="F42" i="3"/>
  <c r="F47" i="3"/>
  <c r="A11" i="3"/>
  <c r="A10" i="3"/>
  <c r="C32" i="3"/>
  <c r="A9" i="3"/>
  <c r="A8" i="3"/>
  <c r="D32" i="3"/>
  <c r="A13" i="3"/>
  <c r="E33" i="3"/>
  <c r="E34" i="3"/>
  <c r="E35" i="3"/>
  <c r="A37" i="3"/>
  <c r="A12" i="3"/>
  <c r="E36" i="3"/>
  <c r="E32" i="3"/>
  <c r="F48" i="3"/>
  <c r="A6" i="4"/>
  <c r="F49" i="3"/>
  <c r="F50" i="3"/>
  <c r="E37" i="3"/>
  <c r="F51" i="3"/>
  <c r="F52" i="3"/>
  <c r="F53" i="3"/>
  <c r="A7" i="4"/>
  <c r="E38" i="3"/>
  <c r="F54" i="3"/>
  <c r="F55" i="3"/>
  <c r="A8" i="4"/>
  <c r="E39" i="3"/>
  <c r="A9" i="4"/>
  <c r="F57" i="3"/>
  <c r="F56" i="3"/>
  <c r="F58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</calcChain>
</file>

<file path=xl/comments1.xml><?xml version="1.0" encoding="utf-8"?>
<comments xmlns="http://schemas.openxmlformats.org/spreadsheetml/2006/main">
  <authors>
    <author>Bruce Bowler</author>
  </authors>
  <commentList>
    <comment ref="I1" authorId="0">
      <text>
        <r>
          <rPr>
            <b/>
            <sz val="8"/>
            <color indexed="81"/>
            <rFont val="Tahoma"/>
            <family val="2"/>
          </rPr>
          <t>Bruce Bowler:</t>
        </r>
        <r>
          <rPr>
            <sz val="8"/>
            <color indexed="81"/>
            <rFont val="Tahoma"/>
            <family val="2"/>
          </rPr>
          <t xml:space="preserve">
*Dilution = 1 means there is no dilution</t>
        </r>
      </text>
    </comment>
  </commentList>
</comments>
</file>

<file path=xl/comments2.xml><?xml version="1.0" encoding="utf-8"?>
<comments xmlns="http://schemas.openxmlformats.org/spreadsheetml/2006/main">
  <authors>
    <author>William Balch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Using std error propagation
</t>
        </r>
      </text>
    </comment>
  </commentList>
</comments>
</file>

<file path=xl/sharedStrings.xml><?xml version="1.0" encoding="utf-8"?>
<sst xmlns="http://schemas.openxmlformats.org/spreadsheetml/2006/main" count="319" uniqueCount="117">
  <si>
    <t>Sample #</t>
  </si>
  <si>
    <t>Filter</t>
  </si>
  <si>
    <t>Date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</si>
  <si>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</si>
  <si>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</si>
  <si>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</si>
  <si>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</si>
  <si>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</si>
  <si>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</si>
  <si>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</si>
  <si>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</si>
  <si>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</si>
  <si>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</si>
  <si>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</si>
  <si>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</si>
  <si>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</si>
  <si>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</si>
  <si>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</si>
  <si>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</si>
  <si>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</si>
  <si>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</si>
  <si>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</si>
  <si>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</si>
  <si>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</si>
  <si>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</si>
  <si>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</si>
  <si>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</si>
  <si>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</si>
  <si>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</si>
  <si>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</si>
  <si>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</si>
  <si>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</si>
  <si>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</si>
  <si>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</si>
  <si>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</si>
  <si>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</si>
  <si>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</si>
  <si>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</si>
  <si>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</si>
  <si>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</si>
  <si>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</si>
  <si>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</si>
  <si>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</si>
  <si>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</si>
  <si>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</si>
  <si>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>Factor
tau/(tau-1)</t>
  </si>
  <si>
    <t>scale</t>
  </si>
  <si>
    <t>corr fb</t>
  </si>
  <si>
    <t>corr fa</t>
  </si>
  <si>
    <t>Dev. Chla</t>
  </si>
  <si>
    <t xml:space="preserve">Cruise: </t>
  </si>
  <si>
    <t>TN376 UW</t>
  </si>
  <si>
    <t>m</t>
  </si>
  <si>
    <t>control 1</t>
  </si>
  <si>
    <t>control 2</t>
  </si>
  <si>
    <t>control 3</t>
  </si>
  <si>
    <t>NO3 4</t>
  </si>
  <si>
    <t>NO3 5</t>
  </si>
  <si>
    <t>NO3 6</t>
  </si>
  <si>
    <t>SAMW 7</t>
  </si>
  <si>
    <t>SAMW 8</t>
  </si>
  <si>
    <t>SAMW 9</t>
  </si>
  <si>
    <t>Si 10</t>
  </si>
  <si>
    <t>Si 11</t>
  </si>
  <si>
    <t>Si 12</t>
  </si>
  <si>
    <t>Fe + Si 13</t>
  </si>
  <si>
    <t>Fe + Si 14</t>
  </si>
  <si>
    <t>Fe + Si 15</t>
  </si>
  <si>
    <t>Fe 16</t>
  </si>
  <si>
    <t>Fe 17</t>
  </si>
  <si>
    <t>Fe 18</t>
  </si>
  <si>
    <t>Time from T0</t>
  </si>
  <si>
    <t>Treatment</t>
  </si>
  <si>
    <t>Time From 0</t>
  </si>
  <si>
    <t>SAMW 4</t>
  </si>
  <si>
    <t>SAMW 5</t>
  </si>
  <si>
    <t>SAMW 6</t>
  </si>
  <si>
    <t>mean chl</t>
  </si>
  <si>
    <t>SD chl</t>
  </si>
  <si>
    <t>mean Pheo</t>
  </si>
  <si>
    <t>Pheo/chl</t>
  </si>
  <si>
    <t>Sample</t>
  </si>
  <si>
    <t>chl (ug/L)</t>
  </si>
  <si>
    <t>control</t>
  </si>
  <si>
    <t>mean chl (ug/L)</t>
  </si>
  <si>
    <t>SAMW</t>
  </si>
  <si>
    <t>NO3</t>
  </si>
  <si>
    <t>Si</t>
  </si>
  <si>
    <t>Fe + Si</t>
  </si>
  <si>
    <t>Fe</t>
  </si>
  <si>
    <t>mean pheo</t>
  </si>
  <si>
    <t>pheo/chl</t>
  </si>
  <si>
    <t>T from 0 (hrs)</t>
  </si>
  <si>
    <t>summary stats</t>
  </si>
  <si>
    <t>SD SAMW</t>
  </si>
  <si>
    <t>SD Phaeo</t>
  </si>
  <si>
    <t>SD Phaeo/Chl</t>
  </si>
  <si>
    <t>SD control</t>
  </si>
  <si>
    <t>SD NO3</t>
  </si>
  <si>
    <t>SD Si</t>
  </si>
  <si>
    <t>SD Fe+Si</t>
  </si>
  <si>
    <t>SD Fe</t>
  </si>
  <si>
    <t>!0.371</t>
  </si>
  <si>
    <t>!0.01</t>
  </si>
  <si>
    <t>!0.501</t>
  </si>
  <si>
    <t>!=Results!K14</t>
  </si>
  <si>
    <t>h</t>
  </si>
  <si>
    <t>l</t>
  </si>
  <si>
    <t>run 1</t>
  </si>
  <si>
    <t>run 2</t>
  </si>
  <si>
    <t>run 4</t>
  </si>
  <si>
    <t>run 3</t>
  </si>
  <si>
    <t>run 5</t>
  </si>
  <si>
    <t>run 6</t>
  </si>
  <si>
    <t>run 7</t>
  </si>
  <si>
    <t>run 8</t>
  </si>
  <si>
    <t>run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</si>
</sst>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_)"/>
    <numFmt numFmtId="165" formatCode="0_)"/>
    <numFmt numFmtId="166" formatCode="0.00_)"/>
    <numFmt numFmtId="167" formatCode="0.000_)"/>
    <numFmt numFmtId="168" formatCode="0.0"/>
    <numFmt numFmtId="169" formatCode="0.0000"/>
    <numFmt numFmtId="170" formatCode="yyyymmdd"/>
    <numFmt numFmtId="171" formatCode="h:mm;@"/>
    <numFmt numFmtId="172" formatCode="0.000"/>
    <numFmt numFmtId="173" formatCode="m/d/yy\ h:mm;@"/>
    <numFmt numFmtId="174" formatCode="[h]:mm:ss;@"/>
  </numFmts>
  <fonts count="12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  <font>
      <sz val="10"/>
      <color theme="1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8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Fill="1"/>
    <xf numFmtId="0" fontId="0" fillId="2" borderId="0" xfId="0" applyFill="1" applyProtection="1">
      <protection locked="0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/>
    <xf numFmtId="170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9" fontId="0" fillId="0" borderId="0" xfId="0" applyNumberFormat="1"/>
    <xf numFmtId="2" fontId="8" fillId="0" borderId="0" xfId="0" applyNumberFormat="1" applyFont="1"/>
    <xf numFmtId="0" fontId="8" fillId="0" borderId="0" xfId="0" applyFont="1"/>
    <xf numFmtId="171" fontId="0" fillId="0" borderId="0" xfId="0" applyNumberFormat="1"/>
    <xf numFmtId="171" fontId="0" fillId="0" borderId="0" xfId="0" applyNumberFormat="1" applyAlignment="1">
      <alignment horizontal="center" wrapText="1"/>
    </xf>
    <xf numFmtId="169" fontId="2" fillId="0" borderId="0" xfId="0" applyNumberFormat="1" applyFont="1" applyAlignment="1" applyProtection="1">
      <alignment horizontal="center"/>
    </xf>
    <xf numFmtId="169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2" fontId="2" fillId="0" borderId="0" xfId="0" applyNumberFormat="1" applyFont="1" applyAlignment="1" applyProtection="1">
      <alignment horizontal="center"/>
    </xf>
    <xf numFmtId="172" fontId="2" fillId="0" borderId="0" xfId="0" applyNumberFormat="1" applyFont="1" applyAlignment="1" applyProtection="1">
      <alignment horizontal="center" wrapText="1"/>
    </xf>
    <xf numFmtId="172" fontId="2" fillId="0" borderId="0" xfId="0" applyNumberFormat="1" applyFont="1" applyAlignment="1">
      <alignment horizontal="center" wrapText="1"/>
    </xf>
    <xf numFmtId="172" fontId="0" fillId="0" borderId="0" xfId="0" applyNumberFormat="1" applyAlignment="1" applyProtection="1">
      <alignment horizontal="center"/>
    </xf>
    <xf numFmtId="172" fontId="0" fillId="0" borderId="0" xfId="0" applyNumberFormat="1"/>
    <xf numFmtId="172" fontId="6" fillId="0" borderId="0" xfId="0" applyNumberFormat="1" applyFont="1"/>
    <xf numFmtId="17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74" fontId="9" fillId="4" borderId="0" xfId="0" applyNumberFormat="1" applyFont="1" applyFill="1" applyProtection="1">
      <protection locked="0"/>
    </xf>
    <xf numFmtId="0" fontId="0" fillId="7" borderId="0" xfId="0" applyFill="1"/>
    <xf numFmtId="0" fontId="0" fillId="8" borderId="0" xfId="0" applyFill="1"/>
    <xf numFmtId="172" fontId="0" fillId="8" borderId="0" xfId="0" applyNumberFormat="1" applyFill="1"/>
    <xf numFmtId="174" fontId="0" fillId="0" borderId="0" xfId="0" applyNumberForma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2" fontId="0" fillId="0" borderId="0" xfId="0" applyNumberFormat="1" applyFill="1"/>
    <xf numFmtId="0" fontId="0" fillId="9" borderId="0" xfId="0" applyFill="1" applyProtection="1">
      <protection locked="0"/>
    </xf>
    <xf numFmtId="0" fontId="0" fillId="9" borderId="0" xfId="0" applyFill="1"/>
    <xf numFmtId="173" fontId="0" fillId="9" borderId="0" xfId="0" applyNumberFormat="1" applyFill="1" applyProtection="1">
      <protection locked="0"/>
    </xf>
    <xf numFmtId="174" fontId="0" fillId="9" borderId="0" xfId="0" applyNumberFormat="1" applyFill="1" applyProtection="1">
      <protection locked="0"/>
    </xf>
    <xf numFmtId="0" fontId="0" fillId="9" borderId="0" xfId="0" applyFill="1" applyBorder="1" applyProtection="1">
      <protection locked="0"/>
    </xf>
    <xf numFmtId="173" fontId="0" fillId="9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Chl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09361073267601"/>
          <c:y val="8.2535433070866138E-2"/>
          <c:w val="0.78896794975408147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-0.33817146198717046"/>
                  <c:y val="5.37711064527553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-0.0715x + 1.0244
R² = 0.5185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calculations'!$N$2:$N$5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2.9698484809834943E-2</c:v>
                  </c:pt>
                  <c:pt idx="2">
                    <c:v>9.6572943070682718E-2</c:v>
                  </c:pt>
                  <c:pt idx="3">
                    <c:v>9.6572943070682718E-2</c:v>
                  </c:pt>
                </c:numCache>
              </c:numRef>
            </c:plus>
            <c:minus>
              <c:numRef>
                <c:f>'stats &amp; calculations'!$N$2:$N$5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2.9698484809834943E-2</c:v>
                  </c:pt>
                  <c:pt idx="2">
                    <c:v>9.6572943070682718E-2</c:v>
                  </c:pt>
                  <c:pt idx="3">
                    <c:v>9.6572943070682718E-2</c:v>
                  </c:pt>
                </c:numCache>
              </c:numRef>
            </c:minus>
          </c:errBars>
          <c:xVal>
            <c:numRef>
              <c:f>'stats &amp; calculations'!$Z$2:$Z$5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&amp; calculations'!$M$2:$M$5</c:f>
              <c:numCache>
                <c:formatCode>0.000</c:formatCode>
                <c:ptCount val="4"/>
                <c:pt idx="0">
                  <c:v>1.1816333333333333</c:v>
                </c:pt>
                <c:pt idx="1">
                  <c:v>0.88300000000000001</c:v>
                </c:pt>
                <c:pt idx="2">
                  <c:v>0.69966666666666677</c:v>
                </c:pt>
                <c:pt idx="3">
                  <c:v>0.74816666666666665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1C-40BC-93C9-55FAE3D93552}"/>
            </c:ext>
          </c:extLst>
        </c:ser>
        <c:ser>
          <c:idx val="1"/>
          <c:order val="1"/>
          <c:tx>
            <c:v>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027990760824289"/>
                  <c:y val="0.2036522738731727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SAMW; y = 0.0176x + 0.7461
R² = 0.4042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calculations'!$P$2:$P$5</c:f>
                <c:numCache>
                  <c:formatCode>General</c:formatCode>
                  <c:ptCount val="4"/>
                  <c:pt idx="0">
                    <c:v>0.12681088281374053</c:v>
                  </c:pt>
                  <c:pt idx="1">
                    <c:v>2.0506096654409896E-2</c:v>
                  </c:pt>
                  <c:pt idx="2">
                    <c:v>5.608327142146162E-2</c:v>
                  </c:pt>
                  <c:pt idx="3">
                    <c:v>5.608327142146162E-2</c:v>
                  </c:pt>
                </c:numCache>
              </c:numRef>
            </c:plus>
            <c:minus>
              <c:numRef>
                <c:f>'stats &amp; calculations'!$P$2:$P$5</c:f>
                <c:numCache>
                  <c:formatCode>General</c:formatCode>
                  <c:ptCount val="4"/>
                  <c:pt idx="0">
                    <c:v>0.12681088281374053</c:v>
                  </c:pt>
                  <c:pt idx="1">
                    <c:v>2.0506096654409896E-2</c:v>
                  </c:pt>
                  <c:pt idx="2">
                    <c:v>5.608327142146162E-2</c:v>
                  </c:pt>
                  <c:pt idx="3">
                    <c:v>5.608327142146162E-2</c:v>
                  </c:pt>
                </c:numCache>
              </c:numRef>
            </c:minus>
          </c:errBars>
          <c:xVal>
            <c:numRef>
              <c:f>'stats &amp; calculations'!$AA$2:$AA$5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&amp; calculations'!$O$2:$O$5</c:f>
              <c:numCache>
                <c:formatCode>0.000</c:formatCode>
                <c:ptCount val="4"/>
                <c:pt idx="0">
                  <c:v>0.77</c:v>
                </c:pt>
                <c:pt idx="1">
                  <c:v>0.70300000000000007</c:v>
                </c:pt>
                <c:pt idx="2">
                  <c:v>0.82933333333333348</c:v>
                </c:pt>
                <c:pt idx="3">
                  <c:v>0.82933333333333348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1C-40BC-93C9-55FAE3D93552}"/>
            </c:ext>
          </c:extLst>
        </c:ser>
        <c:ser>
          <c:idx val="2"/>
          <c:order val="2"/>
          <c:tx>
            <c:v>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539637693049181"/>
                  <c:y val="0.2569563790969105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NO3; y = -0.0406x + 1.0438
R² = 0.3628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calculations'!$R$2:$R$5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4.2426406871193673E-3</c:v>
                  </c:pt>
                  <c:pt idx="2">
                    <c:v>4.689349635077341E-2</c:v>
                  </c:pt>
                  <c:pt idx="3">
                    <c:v>4.689349635077341E-2</c:v>
                  </c:pt>
                </c:numCache>
              </c:numRef>
            </c:plus>
            <c:minus>
              <c:numRef>
                <c:f>'stats &amp; calculations'!$R$2:$R$5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4.2426406871193673E-3</c:v>
                  </c:pt>
                  <c:pt idx="2">
                    <c:v>4.689349635077341E-2</c:v>
                  </c:pt>
                  <c:pt idx="3">
                    <c:v>4.689349635077341E-2</c:v>
                  </c:pt>
                </c:numCache>
              </c:numRef>
            </c:minus>
          </c:errBars>
          <c:xVal>
            <c:numRef>
              <c:f>'stats &amp; calculations'!$AB$2:$AB$5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&amp; calculations'!$Q$2:$Q$5</c:f>
              <c:numCache>
                <c:formatCode>0.000</c:formatCode>
                <c:ptCount val="4"/>
                <c:pt idx="0">
                  <c:v>1.1816333333333333</c:v>
                </c:pt>
                <c:pt idx="1">
                  <c:v>0.87800000000000011</c:v>
                </c:pt>
                <c:pt idx="2">
                  <c:v>0.89100000000000001</c:v>
                </c:pt>
                <c:pt idx="3">
                  <c:v>0.89100000000000001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1C-40BC-93C9-55FAE3D93552}"/>
            </c:ext>
          </c:extLst>
        </c:ser>
        <c:ser>
          <c:idx val="3"/>
          <c:order val="3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851716952973574"/>
                  <c:y val="0.16351353413432468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+Si; y = -0.077x + 0.9708
R² = 0.4682</a:t>
                    </a:r>
                    <a:endParaRPr lang="en-US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calculations'!$T$2:$T$5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5.5154328932550678E-2</c:v>
                  </c:pt>
                  <c:pt idx="2">
                    <c:v>1.8770544300401468E-2</c:v>
                  </c:pt>
                  <c:pt idx="3">
                    <c:v>1.8770544300401468E-2</c:v>
                  </c:pt>
                </c:numCache>
              </c:numRef>
            </c:plus>
            <c:minus>
              <c:numRef>
                <c:f>'stats &amp; calculations'!$T$2:$T$5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5.5154328932550678E-2</c:v>
                  </c:pt>
                  <c:pt idx="2">
                    <c:v>1.8770544300401468E-2</c:v>
                  </c:pt>
                  <c:pt idx="3">
                    <c:v>1.8770544300401468E-2</c:v>
                  </c:pt>
                </c:numCache>
              </c:numRef>
            </c:minus>
          </c:errBars>
          <c:xVal>
            <c:numRef>
              <c:f>'stats &amp; calculations'!$AC$2:$AC$5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&amp; calculations'!$S$2:$S$5</c:f>
              <c:numCache>
                <c:formatCode>0.000</c:formatCode>
                <c:ptCount val="4"/>
                <c:pt idx="0">
                  <c:v>1.1816333333333333</c:v>
                </c:pt>
                <c:pt idx="1">
                  <c:v>0.72700000000000009</c:v>
                </c:pt>
                <c:pt idx="2">
                  <c:v>0.66733333333333344</c:v>
                </c:pt>
                <c:pt idx="3">
                  <c:v>0.66733333333333344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21C-40BC-93C9-55FAE3D93552}"/>
            </c:ext>
          </c:extLst>
        </c:ser>
        <c:ser>
          <c:idx val="4"/>
          <c:order val="4"/>
          <c:tx>
            <c:v>Fe + 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>
                <a:prstDash val="lg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-0.34698024848111836"/>
                  <c:y val="0.27129083717520525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+Fe+Si; y = -0.0606x + 0.9733
R² = 0.3629</a:t>
                    </a:r>
                    <a:endParaRPr lang="en-US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calculations'!$V$2:$V$5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9.2993786711883894E-2</c:v>
                  </c:pt>
                  <c:pt idx="2">
                    <c:v>5.2848841046895238E-2</c:v>
                  </c:pt>
                  <c:pt idx="3">
                    <c:v>5.2848841046895238E-2</c:v>
                  </c:pt>
                </c:numCache>
              </c:numRef>
            </c:plus>
            <c:minus>
              <c:numRef>
                <c:f>'stats &amp; calculations'!$V$2:$V$5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9.2993786711883894E-2</c:v>
                  </c:pt>
                  <c:pt idx="2">
                    <c:v>5.2848841046895238E-2</c:v>
                  </c:pt>
                  <c:pt idx="3">
                    <c:v>5.2848841046895238E-2</c:v>
                  </c:pt>
                </c:numCache>
              </c:numRef>
            </c:minus>
          </c:errBars>
          <c:xVal>
            <c:numRef>
              <c:f>'stats &amp; calculations'!$AD$2:$AD$5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&amp; calculations'!$U$2:$U$5</c:f>
              <c:numCache>
                <c:formatCode>0.000</c:formatCode>
                <c:ptCount val="4"/>
                <c:pt idx="0">
                  <c:v>1.1816333333333333</c:v>
                </c:pt>
                <c:pt idx="1">
                  <c:v>0.72166666666666668</c:v>
                </c:pt>
                <c:pt idx="2">
                  <c:v>0.74199999999999999</c:v>
                </c:pt>
                <c:pt idx="3">
                  <c:v>0.74199999999999999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21C-40BC-93C9-55FAE3D93552}"/>
            </c:ext>
          </c:extLst>
        </c:ser>
        <c:ser>
          <c:idx val="5"/>
          <c:order val="5"/>
          <c:tx>
            <c:v>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-0.35539083840973379"/>
                  <c:y val="0.27475805902971834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+Fe; y = -0.0745x + 0.9504
R² = 0.4132</a:t>
                    </a:r>
                    <a:endParaRPr lang="en-US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calculations'!$X$2:$X$5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3.8552993831002691E-2</c:v>
                  </c:pt>
                  <c:pt idx="2">
                    <c:v>1.703917055884276E-2</c:v>
                  </c:pt>
                  <c:pt idx="3">
                    <c:v>1.703917055884276E-2</c:v>
                  </c:pt>
                </c:numCache>
              </c:numRef>
            </c:plus>
            <c:minus>
              <c:numRef>
                <c:f>'stats &amp; calculations'!$X$2:$X$5</c:f>
                <c:numCache>
                  <c:formatCode>General</c:formatCode>
                  <c:ptCount val="4"/>
                  <c:pt idx="0">
                    <c:v>4.0414518843273843E-2</c:v>
                  </c:pt>
                  <c:pt idx="1">
                    <c:v>3.8552993831002691E-2</c:v>
                  </c:pt>
                  <c:pt idx="2">
                    <c:v>1.703917055884276E-2</c:v>
                  </c:pt>
                  <c:pt idx="3">
                    <c:v>1.703917055884276E-2</c:v>
                  </c:pt>
                </c:numCache>
              </c:numRef>
            </c:minus>
          </c:errBars>
          <c:xVal>
            <c:numRef>
              <c:f>'stats &amp; calculations'!$AE$2:$AE$5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&amp; calculations'!$W$2:$W$5</c:f>
              <c:numCache>
                <c:formatCode>0.000</c:formatCode>
                <c:ptCount val="4"/>
                <c:pt idx="0">
                  <c:v>1.1816333333333333</c:v>
                </c:pt>
                <c:pt idx="1">
                  <c:v>0.67566666666666675</c:v>
                </c:pt>
                <c:pt idx="2">
                  <c:v>0.65966666666666673</c:v>
                </c:pt>
                <c:pt idx="3">
                  <c:v>0.65966666666666673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21C-40BC-93C9-55FAE3D93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74688"/>
        <c:axId val="165476608"/>
      </c:scatterChart>
      <c:valAx>
        <c:axId val="16547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76608"/>
        <c:crosses val="autoZero"/>
        <c:crossBetween val="midCat"/>
      </c:valAx>
      <c:valAx>
        <c:axId val="165476608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chl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n-US" sz="2800" baseline="0">
                    <a:solidFill>
                      <a:sysClr val="windowText" lastClr="000000"/>
                    </a:solidFill>
                    <a:latin typeface="Symbol" panose="05050102010706020507" pitchFamily="18" charset="2"/>
                  </a:rPr>
                  <a:t>m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g/L)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746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989556426795642"/>
          <c:y val="0.5256642448726826"/>
          <c:w val="0.15362966725933452"/>
          <c:h val="0.32397041278931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</a:t>
            </a:r>
            <a:r>
              <a:rPr lang="en-US" sz="2400" baseline="0">
                <a:solidFill>
                  <a:sysClr val="windowText" lastClr="000000"/>
                </a:solidFill>
              </a:rPr>
              <a:t>Pheo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418009990287663"/>
          <c:y val="8.08080808080808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86808406210444"/>
          <c:y val="8.2535433070866138E-2"/>
          <c:w val="0.70091764472837126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/>
            </c:spPr>
            <c:trendlineType val="linear"/>
            <c:dispRSqr val="1"/>
            <c:dispEq val="1"/>
            <c:trendlineLbl>
              <c:layout>
                <c:manualLayout>
                  <c:x val="0.11326494562080033"/>
                  <c:y val="-0.6662147458840371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-0.0092x + 0.1478
R² = 0.2677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calculations'!$N$11:$N$14</c:f>
                <c:numCache>
                  <c:formatCode>General</c:formatCode>
                  <c:ptCount val="4"/>
                  <c:pt idx="0">
                    <c:v>2.0259929415612086E-2</c:v>
                  </c:pt>
                  <c:pt idx="1">
                    <c:v>7.3703865459840964E-2</c:v>
                  </c:pt>
                  <c:pt idx="2">
                    <c:v>8.3293890205947876E-3</c:v>
                  </c:pt>
                  <c:pt idx="3">
                    <c:v>8.3293890205947876E-3</c:v>
                  </c:pt>
                </c:numCache>
              </c:numRef>
            </c:plus>
            <c:minus>
              <c:numRef>
                <c:f>'stats &amp; calculations'!$N$11:$N$14</c:f>
                <c:numCache>
                  <c:formatCode>General</c:formatCode>
                  <c:ptCount val="4"/>
                  <c:pt idx="0">
                    <c:v>2.0259929415612086E-2</c:v>
                  </c:pt>
                  <c:pt idx="1">
                    <c:v>7.3703865459840964E-2</c:v>
                  </c:pt>
                  <c:pt idx="2">
                    <c:v>8.3293890205947876E-3</c:v>
                  </c:pt>
                  <c:pt idx="3">
                    <c:v>8.3293890205947876E-3</c:v>
                  </c:pt>
                </c:numCache>
              </c:numRef>
            </c:minus>
          </c:errBars>
          <c:xVal>
            <c:numRef>
              <c:f>'stats &amp; calculations'!$Z$11:$Z$14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&amp; calculations'!$M$11:$M$14</c:f>
              <c:numCache>
                <c:formatCode>0.000</c:formatCode>
                <c:ptCount val="4"/>
                <c:pt idx="0">
                  <c:v>0.18636895226666642</c:v>
                </c:pt>
                <c:pt idx="1">
                  <c:v>9.9885402666666748E-2</c:v>
                </c:pt>
                <c:pt idx="2">
                  <c:v>0.11473603466666682</c:v>
                </c:pt>
                <c:pt idx="3">
                  <c:v>0.11473603466666682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29-4730-88CB-62B01043C65E}"/>
            </c:ext>
          </c:extLst>
        </c:ser>
        <c:ser>
          <c:idx val="1"/>
          <c:order val="1"/>
          <c:tx>
            <c:v>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9.7400304800609599E-2"/>
                  <c:y val="-0.5971609003420027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SAMW: y = 0.0107x + 0.0676
R² = 0.2104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calculations'!$P$11:$P$14</c:f>
                <c:numCache>
                  <c:formatCode>General</c:formatCode>
                  <c:ptCount val="4"/>
                  <c:pt idx="0">
                    <c:v>9.6163760354294456E-2</c:v>
                  </c:pt>
                  <c:pt idx="1">
                    <c:v>3.9856755158524805E-2</c:v>
                  </c:pt>
                  <c:pt idx="2">
                    <c:v>2.0682032000000027E-2</c:v>
                  </c:pt>
                  <c:pt idx="3">
                    <c:v>2.0682032000000027E-2</c:v>
                  </c:pt>
                </c:numCache>
              </c:numRef>
            </c:plus>
            <c:minus>
              <c:numRef>
                <c:f>'stats &amp; calculations'!$P$11:$P$14</c:f>
                <c:numCache>
                  <c:formatCode>General</c:formatCode>
                  <c:ptCount val="4"/>
                  <c:pt idx="0">
                    <c:v>9.6163760354294456E-2</c:v>
                  </c:pt>
                  <c:pt idx="1">
                    <c:v>3.9856755158524805E-2</c:v>
                  </c:pt>
                  <c:pt idx="2">
                    <c:v>2.0682032000000027E-2</c:v>
                  </c:pt>
                  <c:pt idx="3">
                    <c:v>2.0682032000000027E-2</c:v>
                  </c:pt>
                </c:numCache>
              </c:numRef>
            </c:minus>
          </c:errBars>
          <c:xVal>
            <c:numRef>
              <c:f>'stats &amp; calculations'!$AA$11:$AA$14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&amp; calculations'!$O$11:$O$14</c:f>
              <c:numCache>
                <c:formatCode>0.000</c:formatCode>
                <c:ptCount val="4"/>
                <c:pt idx="0">
                  <c:v>1.6172416000000068E-2</c:v>
                </c:pt>
                <c:pt idx="1">
                  <c:v>0.13225615200000004</c:v>
                </c:pt>
                <c:pt idx="2">
                  <c:v>0.10589822400000019</c:v>
                </c:pt>
                <c:pt idx="3">
                  <c:v>0.10589822400000019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29-4730-88CB-62B01043C65E}"/>
            </c:ext>
          </c:extLst>
        </c:ser>
        <c:ser>
          <c:idx val="2"/>
          <c:order val="2"/>
          <c:tx>
            <c:v>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9.8895675064077398E-2"/>
                  <c:y val="-0.60569362920544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+NO3; y = -0.1096x + 0.5289
R² = 0.3933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calculations'!$R$11:$R$14</c:f>
                <c:numCache>
                  <c:formatCode>General</c:formatCode>
                  <c:ptCount val="4"/>
                  <c:pt idx="0">
                    <c:v>4.2426406871193673E-3</c:v>
                  </c:pt>
                  <c:pt idx="1">
                    <c:v>3.9583735886835447E-2</c:v>
                  </c:pt>
                  <c:pt idx="2">
                    <c:v>1.0846427223392005E-2</c:v>
                  </c:pt>
                  <c:pt idx="3">
                    <c:v>1.0846427223392005E-2</c:v>
                  </c:pt>
                </c:numCache>
              </c:numRef>
            </c:plus>
            <c:minus>
              <c:numRef>
                <c:f>'stats &amp; calculations'!$R$11:$R$14</c:f>
                <c:numCache>
                  <c:formatCode>General</c:formatCode>
                  <c:ptCount val="4"/>
                  <c:pt idx="0">
                    <c:v>4.2426406871193673E-3</c:v>
                  </c:pt>
                  <c:pt idx="1">
                    <c:v>3.9583735886835447E-2</c:v>
                  </c:pt>
                  <c:pt idx="2">
                    <c:v>1.0846427223392005E-2</c:v>
                  </c:pt>
                  <c:pt idx="3">
                    <c:v>1.0846427223392005E-2</c:v>
                  </c:pt>
                </c:numCache>
              </c:numRef>
            </c:minus>
          </c:errBars>
          <c:xVal>
            <c:numRef>
              <c:f>'stats &amp; calculations'!$AB$11:$AB$14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&amp; calculations'!$Q$11:$Q$14</c:f>
              <c:numCache>
                <c:formatCode>0.000</c:formatCode>
                <c:ptCount val="4"/>
                <c:pt idx="0">
                  <c:v>0.87800000000000011</c:v>
                </c:pt>
                <c:pt idx="1">
                  <c:v>0.1136993413333333</c:v>
                </c:pt>
                <c:pt idx="2">
                  <c:v>0.11121127733333347</c:v>
                </c:pt>
                <c:pt idx="3">
                  <c:v>0.11121127733333347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29-4730-88CB-62B01043C65E}"/>
            </c:ext>
          </c:extLst>
        </c:ser>
        <c:ser>
          <c:idx val="3"/>
          <c:order val="3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solidFill>
                  <a:schemeClr val="tx1">
                    <a:lumMod val="75000"/>
                    <a:lumOff val="25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8.0457893643060011E-2"/>
                  <c:y val="-0.54710777061958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-0.1126x + 0.5223
R² = 0.4013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calculations'!$T$11:$T$14</c:f>
                <c:numCache>
                  <c:formatCode>General</c:formatCode>
                  <c:ptCount val="4"/>
                  <c:pt idx="0">
                    <c:v>4.2426406871193673E-3</c:v>
                  </c:pt>
                  <c:pt idx="1">
                    <c:v>1.5722638708310553E-2</c:v>
                  </c:pt>
                  <c:pt idx="2">
                    <c:v>3.9816084834755579E-2</c:v>
                  </c:pt>
                  <c:pt idx="3">
                    <c:v>3.9816084834755579E-2</c:v>
                  </c:pt>
                </c:numCache>
              </c:numRef>
            </c:plus>
            <c:minus>
              <c:numRef>
                <c:f>'stats &amp; calculations'!$T$11:$T$14</c:f>
                <c:numCache>
                  <c:formatCode>General</c:formatCode>
                  <c:ptCount val="4"/>
                  <c:pt idx="0">
                    <c:v>4.2426406871193673E-3</c:v>
                  </c:pt>
                  <c:pt idx="1">
                    <c:v>1.5722638708310553E-2</c:v>
                  </c:pt>
                  <c:pt idx="2">
                    <c:v>3.9816084834755579E-2</c:v>
                  </c:pt>
                  <c:pt idx="3">
                    <c:v>3.9816084834755579E-2</c:v>
                  </c:pt>
                </c:numCache>
              </c:numRef>
            </c:minus>
          </c:errBars>
          <c:xVal>
            <c:numRef>
              <c:f>'stats &amp; calculations'!$AC$11:$AC$14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&amp; calculations'!$S$11:$S$14</c:f>
              <c:numCache>
                <c:formatCode>0.000</c:formatCode>
                <c:ptCount val="4"/>
                <c:pt idx="0">
                  <c:v>0.87800000000000011</c:v>
                </c:pt>
                <c:pt idx="1">
                  <c:v>9.9133800000000091E-2</c:v>
                </c:pt>
                <c:pt idx="2">
                  <c:v>8.8170768000000135E-2</c:v>
                </c:pt>
                <c:pt idx="3">
                  <c:v>8.8170768000000135E-2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29-4730-88CB-62B01043C65E}"/>
            </c:ext>
          </c:extLst>
        </c:ser>
        <c:ser>
          <c:idx val="4"/>
          <c:order val="4"/>
          <c:tx>
            <c:v>Fe + 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9.2425358487080611E-2"/>
                  <c:y val="-0.496602720114531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+Fe+Siy = -0.114x + 0.5326
R² = 0.4225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calculations'!$V$12:$V$14</c:f>
                <c:numCache>
                  <c:formatCode>General</c:formatCode>
                  <c:ptCount val="3"/>
                  <c:pt idx="0">
                    <c:v>3.7316837757436182E-2</c:v>
                  </c:pt>
                  <c:pt idx="1">
                    <c:v>2.414484423456149E-2</c:v>
                  </c:pt>
                  <c:pt idx="2">
                    <c:v>2.414484423456149E-2</c:v>
                  </c:pt>
                </c:numCache>
              </c:numRef>
            </c:plus>
            <c:minus>
              <c:numRef>
                <c:f>'stats &amp; calculations'!$V$12:$V$14</c:f>
                <c:numCache>
                  <c:formatCode>General</c:formatCode>
                  <c:ptCount val="3"/>
                  <c:pt idx="0">
                    <c:v>3.7316837757436182E-2</c:v>
                  </c:pt>
                  <c:pt idx="1">
                    <c:v>2.414484423456149E-2</c:v>
                  </c:pt>
                  <c:pt idx="2">
                    <c:v>2.414484423456149E-2</c:v>
                  </c:pt>
                </c:numCache>
              </c:numRef>
            </c:minus>
          </c:errBars>
          <c:xVal>
            <c:numRef>
              <c:f>'stats &amp; calculations'!$AD$11:$AD$14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&amp; calculations'!$U$11:$U$14</c:f>
              <c:numCache>
                <c:formatCode>0.000</c:formatCode>
                <c:ptCount val="4"/>
                <c:pt idx="0">
                  <c:v>0.87800000000000011</c:v>
                </c:pt>
                <c:pt idx="1">
                  <c:v>0.12442911733333349</c:v>
                </c:pt>
                <c:pt idx="2">
                  <c:v>8.8481776000000026E-2</c:v>
                </c:pt>
                <c:pt idx="3">
                  <c:v>8.8481776000000026E-2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229-4730-88CB-62B01043C65E}"/>
            </c:ext>
          </c:extLst>
        </c:ser>
        <c:ser>
          <c:idx val="5"/>
          <c:order val="5"/>
          <c:tx>
            <c:v>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solidFill>
                  <a:schemeClr val="bg2">
                    <a:lumMod val="50000"/>
                  </a:schemeClr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9.7520955041910079E-2"/>
                  <c:y val="-0.425895649407460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-0.1229x + 0.5233
R² = 0.4474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calculations'!$X$11:$X$14</c:f>
                <c:numCache>
                  <c:formatCode>General</c:formatCode>
                  <c:ptCount val="4"/>
                  <c:pt idx="0">
                    <c:v>4.2426406871193673E-3</c:v>
                  </c:pt>
                  <c:pt idx="1">
                    <c:v>1.9876905068569435E-2</c:v>
                  </c:pt>
                  <c:pt idx="2">
                    <c:v>6.5368318753933063E-2</c:v>
                  </c:pt>
                  <c:pt idx="3">
                    <c:v>6.5368318753933063E-2</c:v>
                  </c:pt>
                </c:numCache>
              </c:numRef>
            </c:plus>
            <c:minus>
              <c:numRef>
                <c:f>'stats &amp; calculations'!$X$11:$X$14</c:f>
                <c:numCache>
                  <c:formatCode>General</c:formatCode>
                  <c:ptCount val="4"/>
                  <c:pt idx="0">
                    <c:v>4.2426406871193673E-3</c:v>
                  </c:pt>
                  <c:pt idx="1">
                    <c:v>1.9876905068569435E-2</c:v>
                  </c:pt>
                  <c:pt idx="2">
                    <c:v>6.5368318753933063E-2</c:v>
                  </c:pt>
                  <c:pt idx="3">
                    <c:v>6.5368318753933063E-2</c:v>
                  </c:pt>
                </c:numCache>
              </c:numRef>
            </c:minus>
          </c:errBars>
          <c:xVal>
            <c:numRef>
              <c:f>'stats &amp; calculations'!$AE$11:$AE$14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&amp; calculations'!$W$11:$W$14</c:f>
              <c:numCache>
                <c:formatCode>0.000</c:formatCode>
                <c:ptCount val="4"/>
                <c:pt idx="0">
                  <c:v>0.87800000000000011</c:v>
                </c:pt>
                <c:pt idx="1">
                  <c:v>0.10773835466666659</c:v>
                </c:pt>
                <c:pt idx="2">
                  <c:v>3.8694578666666778E-2</c:v>
                </c:pt>
                <c:pt idx="3">
                  <c:v>3.8694578666666778E-2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229-4730-88CB-62B01043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09504"/>
        <c:axId val="107911424"/>
      </c:scatterChart>
      <c:valAx>
        <c:axId val="107909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11424"/>
        <c:crosses val="autoZero"/>
        <c:crossBetween val="midCat"/>
      </c:valAx>
      <c:valAx>
        <c:axId val="1079114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Pheo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095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0442374935691181"/>
          <c:y val="0.10157119673017971"/>
          <c:w val="0.12459064709934514"/>
          <c:h val="0.41737492737071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Pheo</a:t>
            </a:r>
            <a:r>
              <a:rPr lang="en-US" sz="2400" baseline="0">
                <a:solidFill>
                  <a:sysClr val="windowText" lastClr="000000"/>
                </a:solidFill>
              </a:rPr>
              <a:t>/C</a:t>
            </a:r>
            <a:r>
              <a:rPr lang="en-US" sz="2400">
                <a:solidFill>
                  <a:sysClr val="windowText" lastClr="000000"/>
                </a:solidFill>
              </a:rPr>
              <a:t>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54814045679443"/>
          <c:y val="8.4330288246832905E-2"/>
          <c:w val="0.70704612706554282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>
                <a:solidFill>
                  <a:schemeClr val="bg1">
                    <a:lumMod val="50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0.10509802110513312"/>
                  <c:y val="-0.58542957130358708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calculations'!$N$20:$N$23</c:f>
                <c:numCache>
                  <c:formatCode>General</c:formatCode>
                  <c:ptCount val="4"/>
                  <c:pt idx="0">
                    <c:v>1.797428331759917E-2</c:v>
                  </c:pt>
                  <c:pt idx="1">
                    <c:v>8.3556501531335411E-2</c:v>
                  </c:pt>
                  <c:pt idx="2">
                    <c:v>2.5574392480255458E-2</c:v>
                  </c:pt>
                  <c:pt idx="3">
                    <c:v>2.2711071272765639E-2</c:v>
                  </c:pt>
                </c:numCache>
              </c:numRef>
            </c:plus>
            <c:minus>
              <c:numRef>
                <c:f>'stats &amp; calculations'!$N$20:$N$23</c:f>
                <c:numCache>
                  <c:formatCode>General</c:formatCode>
                  <c:ptCount val="4"/>
                  <c:pt idx="0">
                    <c:v>1.797428331759917E-2</c:v>
                  </c:pt>
                  <c:pt idx="1">
                    <c:v>8.3556501531335411E-2</c:v>
                  </c:pt>
                  <c:pt idx="2">
                    <c:v>2.5574392480255458E-2</c:v>
                  </c:pt>
                  <c:pt idx="3">
                    <c:v>2.2711071272765639E-2</c:v>
                  </c:pt>
                </c:numCache>
              </c:numRef>
            </c:minus>
          </c:errBars>
          <c:xVal>
            <c:numRef>
              <c:f>'stats &amp; calculations'!$Z$20:$Z$23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&amp; calculations'!$M$20:$M$23</c:f>
              <c:numCache>
                <c:formatCode>0.000</c:formatCode>
                <c:ptCount val="4"/>
                <c:pt idx="0">
                  <c:v>0.1577214750204517</c:v>
                </c:pt>
                <c:pt idx="1">
                  <c:v>0.1131205013212534</c:v>
                </c:pt>
                <c:pt idx="2">
                  <c:v>0.16398670986183916</c:v>
                </c:pt>
                <c:pt idx="3">
                  <c:v>0.15335625038984205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25-4212-BC3E-72264425F5B2}"/>
            </c:ext>
          </c:extLst>
        </c:ser>
        <c:ser>
          <c:idx val="1"/>
          <c:order val="1"/>
          <c:tx>
            <c:v>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724649723376925"/>
                  <c:y val="-0.521060560665245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calculations'!$P$20:$P$23</c:f>
                <c:numCache>
                  <c:formatCode>General</c:formatCode>
                  <c:ptCount val="4"/>
                  <c:pt idx="0">
                    <c:v>0.12493589279243436</c:v>
                  </c:pt>
                  <c:pt idx="1">
                    <c:v>5.5798729789636549E-2</c:v>
                  </c:pt>
                  <c:pt idx="2">
                    <c:v>2.6390805534957752E-2</c:v>
                  </c:pt>
                  <c:pt idx="3">
                    <c:v>2.6390805534957752E-2</c:v>
                  </c:pt>
                </c:numCache>
              </c:numRef>
            </c:plus>
            <c:minus>
              <c:numRef>
                <c:f>'stats &amp; calculations'!$P$20:$P$23</c:f>
                <c:numCache>
                  <c:formatCode>General</c:formatCode>
                  <c:ptCount val="4"/>
                  <c:pt idx="0">
                    <c:v>0.12493589279243436</c:v>
                  </c:pt>
                  <c:pt idx="1">
                    <c:v>5.5798729789636549E-2</c:v>
                  </c:pt>
                  <c:pt idx="2">
                    <c:v>2.6390805534957752E-2</c:v>
                  </c:pt>
                  <c:pt idx="3">
                    <c:v>2.6390805534957752E-2</c:v>
                  </c:pt>
                </c:numCache>
              </c:numRef>
            </c:minus>
          </c:errBars>
          <c:xVal>
            <c:numRef>
              <c:f>'stats &amp; calculations'!$AA$20:$AA$23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&amp; calculations'!$O$20:$O$23</c:f>
              <c:numCache>
                <c:formatCode>0.000</c:formatCode>
                <c:ptCount val="4"/>
                <c:pt idx="0">
                  <c:v>2.1003137662337749E-2</c:v>
                </c:pt>
                <c:pt idx="1">
                  <c:v>0.18432913170731713</c:v>
                </c:pt>
                <c:pt idx="2">
                  <c:v>0.12769078456591662</c:v>
                </c:pt>
                <c:pt idx="3">
                  <c:v>0.12769078456591662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25-4212-BC3E-72264425F5B2}"/>
            </c:ext>
          </c:extLst>
        </c:ser>
        <c:ser>
          <c:idx val="2"/>
          <c:order val="2"/>
          <c:tx>
            <c:v>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390038278558033"/>
                  <c:y val="-0.570500347659937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calculations'!$R$20:$R$23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4.5088324121248503E-2</c:v>
                  </c:pt>
                  <c:pt idx="2">
                    <c:v>1.3832671557412017E-2</c:v>
                  </c:pt>
                  <c:pt idx="3">
                    <c:v>1.3832671557412017E-2</c:v>
                  </c:pt>
                </c:numCache>
              </c:numRef>
            </c:plus>
            <c:minus>
              <c:numRef>
                <c:f>'stats &amp; calculations'!$R$20:$R$23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4.5088324121248503E-2</c:v>
                  </c:pt>
                  <c:pt idx="2">
                    <c:v>1.3832671557412017E-2</c:v>
                  </c:pt>
                  <c:pt idx="3">
                    <c:v>1.3832671557412017E-2</c:v>
                  </c:pt>
                </c:numCache>
              </c:numRef>
            </c:minus>
          </c:errBars>
          <c:xVal>
            <c:numRef>
              <c:f>'stats &amp; calculations'!$AB$20:$AB$23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&amp; calculations'!$Q$20:$Q$23</c:f>
              <c:numCache>
                <c:formatCode>0.000</c:formatCode>
                <c:ptCount val="4"/>
                <c:pt idx="0">
                  <c:v>0.72166666666666668</c:v>
                </c:pt>
                <c:pt idx="1">
                  <c:v>0.12949811085801058</c:v>
                </c:pt>
                <c:pt idx="2">
                  <c:v>0.12481624841002634</c:v>
                </c:pt>
                <c:pt idx="3">
                  <c:v>0.12481624841002634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25-4212-BC3E-72264425F5B2}"/>
            </c:ext>
          </c:extLst>
        </c:ser>
        <c:ser>
          <c:idx val="3"/>
          <c:order val="3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solidFill>
                  <a:schemeClr val="bg2">
                    <a:lumMod val="50000"/>
                  </a:schemeClr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9.9287182210728062E-2"/>
                  <c:y val="-0.5185995386940268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calculations'!$T$20:$T$23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2.397364884129867E-2</c:v>
                  </c:pt>
                  <c:pt idx="2">
                    <c:v>5.97800914119761E-2</c:v>
                  </c:pt>
                  <c:pt idx="3">
                    <c:v>5.97800914119761E-2</c:v>
                  </c:pt>
                </c:numCache>
              </c:numRef>
            </c:plus>
            <c:minus>
              <c:numRef>
                <c:f>'stats &amp; calculations'!$T$20:$T$23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2.397364884129867E-2</c:v>
                  </c:pt>
                  <c:pt idx="2">
                    <c:v>5.97800914119761E-2</c:v>
                  </c:pt>
                  <c:pt idx="3">
                    <c:v>5.97800914119761E-2</c:v>
                  </c:pt>
                </c:numCache>
              </c:numRef>
            </c:minus>
          </c:errBars>
          <c:xVal>
            <c:numRef>
              <c:f>'stats &amp; calculations'!$AC$20:$AC$23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&amp; calculations'!$S$20:$S$23</c:f>
              <c:numCache>
                <c:formatCode>0.000</c:formatCode>
                <c:ptCount val="4"/>
                <c:pt idx="0">
                  <c:v>0.72166666666666668</c:v>
                </c:pt>
                <c:pt idx="1">
                  <c:v>0.13636011004126558</c:v>
                </c:pt>
                <c:pt idx="2">
                  <c:v>0.13212402797202816</c:v>
                </c:pt>
                <c:pt idx="3">
                  <c:v>0.13212402797202816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25-4212-BC3E-72264425F5B2}"/>
            </c:ext>
          </c:extLst>
        </c:ser>
        <c:ser>
          <c:idx val="4"/>
          <c:order val="4"/>
          <c:tx>
            <c:v>Fe + 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0.10164015055302839"/>
                  <c:y val="-0.46001368010816829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calculations'!$V$20:$V$23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5.6280371425730065E-2</c:v>
                  </c:pt>
                  <c:pt idx="2">
                    <c:v>3.3630400216958428E-2</c:v>
                  </c:pt>
                  <c:pt idx="3">
                    <c:v>3.3630400216958428E-2</c:v>
                  </c:pt>
                </c:numCache>
              </c:numRef>
            </c:plus>
            <c:minus>
              <c:numRef>
                <c:f>'stats &amp; calculations'!$V$20:$V$23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5.6280371425730065E-2</c:v>
                  </c:pt>
                  <c:pt idx="2">
                    <c:v>3.3630400216958428E-2</c:v>
                  </c:pt>
                  <c:pt idx="3">
                    <c:v>3.3630400216958428E-2</c:v>
                  </c:pt>
                </c:numCache>
              </c:numRef>
            </c:minus>
          </c:errBars>
          <c:xVal>
            <c:numRef>
              <c:f>'stats &amp; calculations'!$AD$20:$AD$23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&amp; calculations'!$U$20:$U$23</c:f>
              <c:numCache>
                <c:formatCode>0.000</c:formatCode>
                <c:ptCount val="4"/>
                <c:pt idx="0">
                  <c:v>0.72166666666666668</c:v>
                </c:pt>
                <c:pt idx="1">
                  <c:v>0.17241910023094709</c:v>
                </c:pt>
                <c:pt idx="2">
                  <c:v>0.11924767654986526</c:v>
                </c:pt>
                <c:pt idx="3">
                  <c:v>0.11924767654986526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25-4212-BC3E-72264425F5B2}"/>
            </c:ext>
          </c:extLst>
        </c:ser>
        <c:ser>
          <c:idx val="5"/>
          <c:order val="5"/>
          <c:tx>
            <c:v>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9.9185120188422196E-2"/>
                  <c:y val="-0.40344802354251175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&amp; calculations'!$X$20:$X$23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3.0793042520428745E-2</c:v>
                  </c:pt>
                  <c:pt idx="2">
                    <c:v>9.9104536610153338E-2</c:v>
                  </c:pt>
                  <c:pt idx="3">
                    <c:v>9.9104536610153338E-2</c:v>
                  </c:pt>
                </c:numCache>
              </c:numRef>
            </c:plus>
            <c:minus>
              <c:numRef>
                <c:f>'stats &amp; calculations'!$X$20:$X$23</c:f>
                <c:numCache>
                  <c:formatCode>General</c:formatCode>
                  <c:ptCount val="4"/>
                  <c:pt idx="0">
                    <c:v>9.2993786711883894E-2</c:v>
                  </c:pt>
                  <c:pt idx="1">
                    <c:v>3.0793042520428745E-2</c:v>
                  </c:pt>
                  <c:pt idx="2">
                    <c:v>9.9104536610153338E-2</c:v>
                  </c:pt>
                  <c:pt idx="3">
                    <c:v>9.9104536610153338E-2</c:v>
                  </c:pt>
                </c:numCache>
              </c:numRef>
            </c:minus>
          </c:errBars>
          <c:xVal>
            <c:numRef>
              <c:f>'stats &amp; calculations'!$AE$20:$AE$23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&amp; calculations'!$W$20:$W$23</c:f>
              <c:numCache>
                <c:formatCode>0.000</c:formatCode>
                <c:ptCount val="4"/>
                <c:pt idx="0">
                  <c:v>0.72166666666666668</c:v>
                </c:pt>
                <c:pt idx="1">
                  <c:v>0.15945489097187948</c:v>
                </c:pt>
                <c:pt idx="2">
                  <c:v>5.8657774633653521E-2</c:v>
                </c:pt>
                <c:pt idx="3">
                  <c:v>5.8657774633653521E-2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25-4212-BC3E-72264425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01472"/>
        <c:axId val="106203392"/>
      </c:scatterChart>
      <c:valAx>
        <c:axId val="106201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03392"/>
        <c:crosses val="autoZero"/>
        <c:crossBetween val="midCat"/>
      </c:valAx>
      <c:valAx>
        <c:axId val="106203392"/>
        <c:scaling>
          <c:orientation val="minMax"/>
          <c:max val="0.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Pheo/C</a:t>
                </a:r>
                <a:r>
                  <a:rPr lang="en-US" sz="2800">
                    <a:solidFill>
                      <a:sysClr val="windowText" lastClr="000000"/>
                    </a:solidFill>
                  </a:rPr>
                  <a:t>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014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456889186505646"/>
          <c:y val="0.10867621092817943"/>
          <c:w val="0.14693359678486026"/>
          <c:h val="0.44160443647998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2"/>
  <sheetViews>
    <sheetView topLeftCell="A7" workbookViewId="0">
      <selection activeCell="I3" sqref="I3"/>
    </sheetView>
  </sheetViews>
  <sheetFormatPr defaultRowHeight="12.75"/>
  <cols>
    <col min="2" max="2" width="7.28515625" bestFit="1" customWidth="1"/>
    <col min="3" max="3" width="16.42578125" customWidth="1"/>
    <col min="4" max="4" width="13" style="30" bestFit="1" customWidth="1"/>
    <col min="5" max="6" width="8.7109375" style="22" customWidth="1"/>
    <col min="7" max="7" width="9.42578125" style="22" customWidth="1"/>
    <col min="8" max="8" width="9.28515625" style="22" customWidth="1"/>
    <col min="9" max="9" width="5.7109375" customWidth="1"/>
    <col min="10" max="12" width="7.28515625" customWidth="1"/>
    <col min="13" max="13" width="10.7109375" customWidth="1"/>
    <col min="14" max="14" width="11" customWidth="1"/>
    <col min="15" max="15" width="10.85546875" customWidth="1"/>
  </cols>
  <sheetData>
    <row r="1" spans="1:15">
      <c r="B1" t="s">
        <v>50</v>
      </c>
      <c r="C1" t="s">
        <v>51</v>
      </c>
      <c r="G1" s="28"/>
      <c r="H1" s="28"/>
      <c r="I1" s="29"/>
    </row>
    <row r="2" spans="1:15" s="20" customFormat="1" ht="34.5" customHeight="1">
      <c r="A2" s="20" t="s">
        <v>72</v>
      </c>
      <c r="B2" s="21" t="s">
        <v>22</v>
      </c>
      <c r="C2" s="21" t="s">
        <v>23</v>
      </c>
      <c r="D2" s="31" t="s">
        <v>71</v>
      </c>
      <c r="E2" s="2" t="s">
        <v>20</v>
      </c>
      <c r="F2" s="2" t="s">
        <v>21</v>
      </c>
      <c r="G2" s="2" t="s">
        <v>46</v>
      </c>
      <c r="H2" s="2" t="s">
        <v>47</v>
      </c>
      <c r="I2" s="2" t="s">
        <v>48</v>
      </c>
      <c r="J2" s="26" t="s">
        <v>45</v>
      </c>
    </row>
    <row r="3" spans="1:15">
      <c r="A3" t="s">
        <v>53</v>
      </c>
      <c r="B3" s="57">
        <v>52</v>
      </c>
      <c r="C3" s="59">
        <v>42398.466666666667</v>
      </c>
      <c r="D3" s="60">
        <f t="shared" ref="D3:D8" si="0">C3-$C$3</f>
        <v>0</v>
      </c>
      <c r="E3" s="61">
        <v>12.2</v>
      </c>
      <c r="F3" s="61">
        <v>7.14</v>
      </c>
      <c r="G3" s="61" t="s">
        <v>52</v>
      </c>
      <c r="H3">
        <f>E3-IF(G3="h",M3,IF(G3="m",M4,IF(G3="l",M5,-99)))</f>
        <v>12.183</v>
      </c>
      <c r="I3">
        <f>F3-IF(G3="h",M3,IF(G3="m",M4,IF(G3="l",M5,-99)))</f>
        <v>7.1229999999999993</v>
      </c>
      <c r="J3" s="18">
        <v>1.9438</v>
      </c>
      <c r="K3" t="s">
        <v>106</v>
      </c>
      <c r="L3" t="s">
        <v>108</v>
      </c>
      <c r="M3" s="18">
        <v>0.61399999999999999</v>
      </c>
      <c r="N3" s="45"/>
      <c r="O3" s="45"/>
    </row>
    <row r="4" spans="1:15">
      <c r="A4" t="s">
        <v>54</v>
      </c>
      <c r="B4" s="58">
        <v>53</v>
      </c>
      <c r="C4" s="59">
        <v>42398.466666666667</v>
      </c>
      <c r="D4" s="60">
        <f t="shared" si="0"/>
        <v>0</v>
      </c>
      <c r="E4" s="61">
        <v>11.9</v>
      </c>
      <c r="F4" s="61">
        <v>7.06</v>
      </c>
      <c r="G4" s="61" t="s">
        <v>52</v>
      </c>
      <c r="H4">
        <f>E4-IF(G4="h",M3,IF(G4="m",M4,IF(G4="l",M5,-99)))</f>
        <v>11.883000000000001</v>
      </c>
      <c r="I4">
        <f>F4-IF(G4="h",M3,IF(G4="m",M4,IF(G4="l",M5,-99)))</f>
        <v>7.0429999999999993</v>
      </c>
      <c r="K4" t="s">
        <v>52</v>
      </c>
      <c r="M4" s="18">
        <v>1.7000000000000001E-2</v>
      </c>
      <c r="N4" s="45"/>
      <c r="O4" s="45"/>
    </row>
    <row r="5" spans="1:15">
      <c r="A5" t="s">
        <v>55</v>
      </c>
      <c r="B5" s="58">
        <v>54</v>
      </c>
      <c r="C5" s="59">
        <v>42398.466666666667</v>
      </c>
      <c r="D5" s="60">
        <f t="shared" si="0"/>
        <v>0</v>
      </c>
      <c r="E5" s="61">
        <v>11.4</v>
      </c>
      <c r="F5" s="61">
        <v>6.68</v>
      </c>
      <c r="G5" s="61" t="s">
        <v>52</v>
      </c>
      <c r="H5">
        <f>E5-IF(G5="h",M3,IF(G5="m",M4,IF(G5="l",M5,-99)))</f>
        <v>11.383000000000001</v>
      </c>
      <c r="I5">
        <f>F5-IF(G5="h",M3,IF(G5="m",M4,IF(G5="l",M5,-99)))</f>
        <v>6.6629999999999994</v>
      </c>
      <c r="K5" t="s">
        <v>107</v>
      </c>
      <c r="M5" s="18">
        <v>4.0000000000000001E-3</v>
      </c>
      <c r="N5" s="45"/>
      <c r="O5" s="45"/>
    </row>
    <row r="6" spans="1:15">
      <c r="A6" t="s">
        <v>74</v>
      </c>
      <c r="B6" s="58">
        <v>57</v>
      </c>
      <c r="C6" s="59">
        <v>42398.55972222222</v>
      </c>
      <c r="D6" s="60">
        <f t="shared" si="0"/>
        <v>9.3055555553291924E-2</v>
      </c>
      <c r="E6" s="61">
        <v>9.0500000000000007</v>
      </c>
      <c r="F6" s="61">
        <v>5.31</v>
      </c>
      <c r="G6" s="61" t="s">
        <v>52</v>
      </c>
      <c r="H6">
        <f>E6-IF(G6="h",$M$6,IF(G6="m",$M$7,IF(G6="l",$M$8,-99)))</f>
        <v>8.8500000000000014</v>
      </c>
      <c r="I6">
        <f>F6-IF(G6="h",$M$6,IF(G6="m",$M$7,IF(G6="l",$M$8,-99)))</f>
        <v>5.1099999999999994</v>
      </c>
      <c r="K6" t="s">
        <v>106</v>
      </c>
      <c r="L6" t="s">
        <v>109</v>
      </c>
      <c r="M6" s="58">
        <v>1.9</v>
      </c>
    </row>
    <row r="7" spans="1:15">
      <c r="A7" t="s">
        <v>75</v>
      </c>
      <c r="B7" s="58">
        <v>58</v>
      </c>
      <c r="C7" s="59">
        <v>42398.55972222222</v>
      </c>
      <c r="D7" s="60">
        <f t="shared" si="0"/>
        <v>9.3055555553291924E-2</v>
      </c>
      <c r="E7" s="61">
        <v>6.54</v>
      </c>
      <c r="F7" s="61">
        <v>3.41</v>
      </c>
      <c r="G7" s="61" t="s">
        <v>52</v>
      </c>
      <c r="H7">
        <f t="shared" ref="H7:H8" si="1">E7-IF(G7="h",$M$6,IF(G7="m",$M$7,IF(G7="l",$M$8,-99)))</f>
        <v>6.34</v>
      </c>
      <c r="I7">
        <f>F7-IF(G7="h",M6,IF(G7="m",M7,IF(G7="l",M8,-99)))</f>
        <v>3.21</v>
      </c>
      <c r="K7" t="s">
        <v>52</v>
      </c>
      <c r="M7" s="58">
        <v>0.2</v>
      </c>
    </row>
    <row r="8" spans="1:15">
      <c r="A8" t="s">
        <v>76</v>
      </c>
      <c r="B8" s="58">
        <v>59</v>
      </c>
      <c r="C8" s="59">
        <v>42398.55972222222</v>
      </c>
      <c r="D8" s="60">
        <f t="shared" si="0"/>
        <v>9.3055555553291924E-2</v>
      </c>
      <c r="E8" s="61">
        <v>8.11</v>
      </c>
      <c r="F8" s="61">
        <v>4.57</v>
      </c>
      <c r="G8" s="61" t="s">
        <v>52</v>
      </c>
      <c r="H8">
        <f t="shared" si="1"/>
        <v>7.9099999999999993</v>
      </c>
      <c r="I8">
        <f>F8-IF(G8="h",M6,IF(G8="m",M7,IF(G8="l",M8,-99)))</f>
        <v>4.37</v>
      </c>
      <c r="K8" t="s">
        <v>107</v>
      </c>
      <c r="M8" s="58">
        <v>0</v>
      </c>
    </row>
    <row r="9" spans="1:15">
      <c r="A9" t="s">
        <v>53</v>
      </c>
      <c r="B9" s="58">
        <v>77</v>
      </c>
      <c r="C9" s="59">
        <v>42399.520833333336</v>
      </c>
      <c r="D9" s="60">
        <f>C9-$C$3</f>
        <v>1.0541666666686069</v>
      </c>
      <c r="E9" s="61">
        <v>0.1</v>
      </c>
      <c r="F9" s="61">
        <v>0.1</v>
      </c>
      <c r="G9" s="61" t="s">
        <v>52</v>
      </c>
      <c r="H9">
        <f>E9-IF(G9="h",$M$9,IF(G9="m",$M$10,IF(G9="l",$M$11,-99)))</f>
        <v>0.1</v>
      </c>
      <c r="I9">
        <f>F9-IF(G9="h",$M$9,IF(G9="m",$M$10,IF(G9="l",$M$11,-99)))</f>
        <v>0.1</v>
      </c>
      <c r="K9" t="s">
        <v>106</v>
      </c>
      <c r="L9" t="s">
        <v>111</v>
      </c>
      <c r="M9" s="58">
        <v>1.9</v>
      </c>
    </row>
    <row r="10" spans="1:15">
      <c r="A10" t="s">
        <v>54</v>
      </c>
      <c r="B10" s="58">
        <v>78</v>
      </c>
      <c r="C10" s="59">
        <v>42399.520833333336</v>
      </c>
      <c r="D10" s="60">
        <f t="shared" ref="D10:D62" si="2">C10-$C$3</f>
        <v>1.0541666666686069</v>
      </c>
      <c r="E10" s="61">
        <v>9.0399999999999991</v>
      </c>
      <c r="F10" s="61">
        <v>5.27</v>
      </c>
      <c r="G10" s="61" t="s">
        <v>52</v>
      </c>
      <c r="H10">
        <f t="shared" ref="H10:H26" si="3">E10-IF(G10="h",$M$9,IF(G10="m",$M$10,IF(G10="l",$M$11,-99)))</f>
        <v>9.0399999999999991</v>
      </c>
      <c r="I10">
        <f t="shared" ref="I10:I26" si="4">F10-IF(G10="h",$M$9,IF(G10="m",$M$10,IF(G10="l",$M$11,-99)))</f>
        <v>5.27</v>
      </c>
      <c r="K10" t="s">
        <v>52</v>
      </c>
      <c r="M10" s="58">
        <v>0</v>
      </c>
    </row>
    <row r="11" spans="1:15">
      <c r="A11" t="s">
        <v>55</v>
      </c>
      <c r="B11" s="58">
        <v>79</v>
      </c>
      <c r="C11" s="59">
        <v>42399.520833333336</v>
      </c>
      <c r="D11" s="60">
        <f t="shared" si="2"/>
        <v>1.0541666666686069</v>
      </c>
      <c r="E11" s="61">
        <v>8.6199999999999992</v>
      </c>
      <c r="F11" s="61">
        <v>5.12</v>
      </c>
      <c r="G11" s="61" t="s">
        <v>52</v>
      </c>
      <c r="H11">
        <f t="shared" si="3"/>
        <v>8.6199999999999992</v>
      </c>
      <c r="I11">
        <f t="shared" si="4"/>
        <v>5.12</v>
      </c>
      <c r="K11" t="s">
        <v>107</v>
      </c>
      <c r="M11" s="58">
        <v>0</v>
      </c>
    </row>
    <row r="12" spans="1:15">
      <c r="A12" t="s">
        <v>56</v>
      </c>
      <c r="B12" s="58">
        <v>80</v>
      </c>
      <c r="C12" s="59">
        <v>42399.520833333336</v>
      </c>
      <c r="D12" s="60">
        <f t="shared" si="2"/>
        <v>1.0541666666686069</v>
      </c>
      <c r="E12" s="61">
        <v>8.81</v>
      </c>
      <c r="F12" s="61">
        <v>5.13</v>
      </c>
      <c r="G12" s="61" t="s">
        <v>52</v>
      </c>
      <c r="H12">
        <f t="shared" si="3"/>
        <v>8.81</v>
      </c>
      <c r="I12">
        <f t="shared" si="4"/>
        <v>5.13</v>
      </c>
      <c r="K12" t="s">
        <v>106</v>
      </c>
      <c r="L12" t="s">
        <v>110</v>
      </c>
      <c r="M12" s="58">
        <v>1.9</v>
      </c>
    </row>
    <row r="13" spans="1:15">
      <c r="A13" t="s">
        <v>57</v>
      </c>
      <c r="B13" s="58">
        <v>81</v>
      </c>
      <c r="C13" s="59">
        <v>42399.520833333336</v>
      </c>
      <c r="D13" s="60">
        <f t="shared" si="2"/>
        <v>1.0541666666686069</v>
      </c>
      <c r="E13" s="61">
        <v>8.75</v>
      </c>
      <c r="F13" s="61">
        <v>5.17</v>
      </c>
      <c r="G13" s="61" t="s">
        <v>52</v>
      </c>
      <c r="H13">
        <f t="shared" si="3"/>
        <v>8.75</v>
      </c>
      <c r="I13">
        <f t="shared" si="4"/>
        <v>5.17</v>
      </c>
      <c r="K13" t="s">
        <v>52</v>
      </c>
      <c r="M13" s="58">
        <v>0</v>
      </c>
    </row>
    <row r="14" spans="1:15">
      <c r="A14" t="s">
        <v>58</v>
      </c>
      <c r="B14" s="58">
        <v>82</v>
      </c>
      <c r="C14" s="59">
        <v>42399.520833333336</v>
      </c>
      <c r="D14" s="60">
        <f t="shared" si="2"/>
        <v>1.0541666666686069</v>
      </c>
      <c r="E14" s="58">
        <v>5.01</v>
      </c>
      <c r="F14" s="58">
        <v>2.92</v>
      </c>
      <c r="G14" s="58" t="s">
        <v>52</v>
      </c>
      <c r="H14">
        <f t="shared" si="3"/>
        <v>5.01</v>
      </c>
      <c r="I14">
        <f t="shared" si="4"/>
        <v>2.92</v>
      </c>
      <c r="K14" t="s">
        <v>107</v>
      </c>
      <c r="M14" s="58">
        <v>0</v>
      </c>
    </row>
    <row r="15" spans="1:15">
      <c r="A15" t="s">
        <v>59</v>
      </c>
      <c r="B15" s="58">
        <v>83</v>
      </c>
      <c r="C15" s="59">
        <v>42399.520833333336</v>
      </c>
      <c r="D15" s="60">
        <f t="shared" si="2"/>
        <v>1.0541666666686069</v>
      </c>
      <c r="E15" s="58">
        <v>12</v>
      </c>
      <c r="F15" s="58">
        <v>7.02</v>
      </c>
      <c r="G15" s="58" t="s">
        <v>52</v>
      </c>
      <c r="H15">
        <f t="shared" si="3"/>
        <v>12</v>
      </c>
      <c r="I15">
        <f t="shared" si="4"/>
        <v>7.02</v>
      </c>
      <c r="K15" t="s">
        <v>106</v>
      </c>
      <c r="L15" t="s">
        <v>112</v>
      </c>
      <c r="M15" s="58">
        <v>1.9</v>
      </c>
    </row>
    <row r="16" spans="1:15">
      <c r="A16" t="s">
        <v>60</v>
      </c>
      <c r="B16" s="58">
        <v>84</v>
      </c>
      <c r="C16" s="59">
        <v>42399.520833333336</v>
      </c>
      <c r="D16" s="60">
        <f t="shared" si="2"/>
        <v>1.0541666666686069</v>
      </c>
      <c r="E16" s="58">
        <v>7.32</v>
      </c>
      <c r="F16" s="58">
        <v>4.29</v>
      </c>
      <c r="G16" s="58" t="s">
        <v>52</v>
      </c>
      <c r="H16">
        <f t="shared" si="3"/>
        <v>7.32</v>
      </c>
      <c r="I16">
        <f t="shared" si="4"/>
        <v>4.29</v>
      </c>
      <c r="K16" t="s">
        <v>52</v>
      </c>
      <c r="M16" s="58">
        <v>0</v>
      </c>
    </row>
    <row r="17" spans="1:13">
      <c r="A17" t="s">
        <v>61</v>
      </c>
      <c r="B17" s="58">
        <v>85</v>
      </c>
      <c r="C17" s="59">
        <v>42399.520833333336</v>
      </c>
      <c r="D17" s="60">
        <f t="shared" si="2"/>
        <v>1.0541666666686069</v>
      </c>
      <c r="E17" s="58">
        <v>7.03</v>
      </c>
      <c r="F17" s="58">
        <v>4.12</v>
      </c>
      <c r="G17" s="58" t="s">
        <v>52</v>
      </c>
      <c r="H17">
        <f t="shared" si="3"/>
        <v>7.03</v>
      </c>
      <c r="I17">
        <f t="shared" si="4"/>
        <v>4.12</v>
      </c>
      <c r="K17" t="s">
        <v>107</v>
      </c>
      <c r="M17" s="58">
        <v>0</v>
      </c>
    </row>
    <row r="18" spans="1:13">
      <c r="A18" t="s">
        <v>62</v>
      </c>
      <c r="B18" s="58">
        <v>86</v>
      </c>
      <c r="C18" s="59">
        <v>42399.520833333336</v>
      </c>
      <c r="D18" s="60">
        <f t="shared" si="2"/>
        <v>1.0541666666686069</v>
      </c>
      <c r="E18" s="58">
        <v>7.66</v>
      </c>
      <c r="F18" s="58">
        <v>4.49</v>
      </c>
      <c r="G18" s="58" t="s">
        <v>52</v>
      </c>
      <c r="H18">
        <f t="shared" si="3"/>
        <v>7.66</v>
      </c>
      <c r="I18">
        <f t="shared" si="4"/>
        <v>4.49</v>
      </c>
      <c r="K18" t="s">
        <v>106</v>
      </c>
      <c r="L18" t="s">
        <v>113</v>
      </c>
      <c r="M18" s="58">
        <v>1.9</v>
      </c>
    </row>
    <row r="19" spans="1:13">
      <c r="A19" t="s">
        <v>63</v>
      </c>
      <c r="B19" s="58">
        <v>87</v>
      </c>
      <c r="C19" s="59">
        <v>42399.520833333336</v>
      </c>
      <c r="D19" s="60">
        <f t="shared" si="2"/>
        <v>1.0541666666686069</v>
      </c>
      <c r="E19" s="58">
        <v>3.71</v>
      </c>
      <c r="F19" s="58">
        <v>2.2599999999999998</v>
      </c>
      <c r="G19" s="58" t="s">
        <v>52</v>
      </c>
      <c r="H19">
        <f t="shared" si="3"/>
        <v>3.71</v>
      </c>
      <c r="I19">
        <f t="shared" si="4"/>
        <v>2.2599999999999998</v>
      </c>
      <c r="K19" t="s">
        <v>52</v>
      </c>
      <c r="M19" s="58">
        <v>0</v>
      </c>
    </row>
    <row r="20" spans="1:13">
      <c r="A20" t="s">
        <v>64</v>
      </c>
      <c r="B20" s="58">
        <v>88</v>
      </c>
      <c r="C20" s="59">
        <v>42399.520833333336</v>
      </c>
      <c r="D20" s="60">
        <f t="shared" si="2"/>
        <v>1.0541666666686069</v>
      </c>
      <c r="E20" s="58">
        <v>6.88</v>
      </c>
      <c r="F20" s="58">
        <v>4</v>
      </c>
      <c r="G20" s="58" t="s">
        <v>52</v>
      </c>
      <c r="H20">
        <f t="shared" si="3"/>
        <v>6.88</v>
      </c>
      <c r="I20">
        <f t="shared" si="4"/>
        <v>4</v>
      </c>
      <c r="K20" t="s">
        <v>107</v>
      </c>
      <c r="M20" s="58">
        <v>0</v>
      </c>
    </row>
    <row r="21" spans="1:13">
      <c r="A21" t="s">
        <v>65</v>
      </c>
      <c r="B21" s="58">
        <v>89</v>
      </c>
      <c r="C21" s="59">
        <v>42399.520833333336</v>
      </c>
      <c r="D21" s="60">
        <f t="shared" si="2"/>
        <v>1.0541666666686069</v>
      </c>
      <c r="E21" s="58">
        <v>7.13</v>
      </c>
      <c r="F21" s="58">
        <v>4.25</v>
      </c>
      <c r="G21" s="58" t="s">
        <v>52</v>
      </c>
      <c r="H21">
        <f t="shared" si="3"/>
        <v>7.13</v>
      </c>
      <c r="I21">
        <f t="shared" si="4"/>
        <v>4.25</v>
      </c>
      <c r="K21" t="s">
        <v>106</v>
      </c>
      <c r="L21" t="s">
        <v>114</v>
      </c>
      <c r="M21" s="58"/>
    </row>
    <row r="22" spans="1:13" ht="12" customHeight="1">
      <c r="A22" t="s">
        <v>66</v>
      </c>
      <c r="B22" s="58">
        <v>90</v>
      </c>
      <c r="C22" s="59">
        <v>42399.520833333336</v>
      </c>
      <c r="D22" s="60">
        <f t="shared" si="2"/>
        <v>1.0541666666686069</v>
      </c>
      <c r="E22" s="58">
        <v>7.46</v>
      </c>
      <c r="F22" s="58">
        <v>4.4400000000000004</v>
      </c>
      <c r="G22" s="58" t="s">
        <v>52</v>
      </c>
      <c r="H22">
        <f t="shared" si="3"/>
        <v>7.46</v>
      </c>
      <c r="I22">
        <f t="shared" si="4"/>
        <v>4.4400000000000004</v>
      </c>
      <c r="K22" t="s">
        <v>52</v>
      </c>
      <c r="M22" s="58"/>
    </row>
    <row r="23" spans="1:13">
      <c r="A23" t="s">
        <v>67</v>
      </c>
      <c r="B23" s="58">
        <v>91</v>
      </c>
      <c r="C23" s="59">
        <v>42399.520833333336</v>
      </c>
      <c r="D23" s="60">
        <f t="shared" si="2"/>
        <v>1.0541666666686069</v>
      </c>
      <c r="E23" s="58">
        <v>7.06</v>
      </c>
      <c r="F23" s="58">
        <v>4.12</v>
      </c>
      <c r="G23" s="58" t="s">
        <v>52</v>
      </c>
      <c r="H23">
        <f t="shared" si="3"/>
        <v>7.06</v>
      </c>
      <c r="I23">
        <f t="shared" si="4"/>
        <v>4.12</v>
      </c>
      <c r="K23" t="s">
        <v>107</v>
      </c>
      <c r="M23" s="58"/>
    </row>
    <row r="24" spans="1:13">
      <c r="A24" t="s">
        <v>68</v>
      </c>
      <c r="B24" s="58">
        <v>92</v>
      </c>
      <c r="C24" s="59">
        <v>42399.520833333336</v>
      </c>
      <c r="D24" s="60">
        <f t="shared" si="2"/>
        <v>1.0541666666686069</v>
      </c>
      <c r="E24" s="58">
        <v>7.13</v>
      </c>
      <c r="F24" s="58">
        <v>4.1399999999999997</v>
      </c>
      <c r="G24" s="58" t="s">
        <v>52</v>
      </c>
      <c r="H24">
        <f t="shared" si="3"/>
        <v>7.13</v>
      </c>
      <c r="I24">
        <f t="shared" si="4"/>
        <v>4.1399999999999997</v>
      </c>
      <c r="K24" t="s">
        <v>106</v>
      </c>
      <c r="L24" t="s">
        <v>115</v>
      </c>
      <c r="M24" s="58"/>
    </row>
    <row r="25" spans="1:13">
      <c r="A25" t="s">
        <v>69</v>
      </c>
      <c r="B25" s="58">
        <v>93</v>
      </c>
      <c r="C25" s="59">
        <v>42399.520833333336</v>
      </c>
      <c r="D25" s="60">
        <f t="shared" si="2"/>
        <v>1.0541666666686069</v>
      </c>
      <c r="E25" s="58">
        <v>6.36</v>
      </c>
      <c r="F25" s="58">
        <v>3.73</v>
      </c>
      <c r="G25" s="58" t="s">
        <v>52</v>
      </c>
      <c r="H25">
        <f t="shared" si="3"/>
        <v>6.36</v>
      </c>
      <c r="I25">
        <f t="shared" si="4"/>
        <v>3.73</v>
      </c>
      <c r="K25" t="s">
        <v>52</v>
      </c>
      <c r="M25" s="58"/>
    </row>
    <row r="26" spans="1:13">
      <c r="A26" t="s">
        <v>70</v>
      </c>
      <c r="B26" s="58">
        <v>94</v>
      </c>
      <c r="C26" s="59">
        <v>42399.520833333336</v>
      </c>
      <c r="D26" s="60">
        <f t="shared" si="2"/>
        <v>1.0541666666686069</v>
      </c>
      <c r="E26" s="58">
        <v>6.78</v>
      </c>
      <c r="F26" s="58">
        <v>4.05</v>
      </c>
      <c r="G26" s="58" t="s">
        <v>52</v>
      </c>
      <c r="H26">
        <f t="shared" si="3"/>
        <v>6.78</v>
      </c>
      <c r="I26">
        <f t="shared" si="4"/>
        <v>4.05</v>
      </c>
      <c r="K26" t="s">
        <v>107</v>
      </c>
      <c r="M26" s="58"/>
    </row>
    <row r="27" spans="1:13">
      <c r="A27" t="s">
        <v>53</v>
      </c>
      <c r="B27" s="58">
        <v>110</v>
      </c>
      <c r="C27" s="62">
        <v>42400.53125</v>
      </c>
      <c r="D27" s="60">
        <f t="shared" si="2"/>
        <v>2.0645833333328483</v>
      </c>
      <c r="E27" s="58">
        <v>7.04</v>
      </c>
      <c r="F27" s="58">
        <v>4.12</v>
      </c>
      <c r="G27" s="58" t="s">
        <v>52</v>
      </c>
      <c r="H27">
        <f>E27-IF(G27="h",$M$12,IF(G27="m",$M$13,IF(G27="l",$M$14,-99)))</f>
        <v>7.04</v>
      </c>
      <c r="I27">
        <f>F27-IF(G27="h",$M$12,IF(G27="m",$M$13,IF(G27="l",$M$14,-99)))</f>
        <v>4.12</v>
      </c>
      <c r="K27" t="s">
        <v>106</v>
      </c>
      <c r="L27" t="s">
        <v>116</v>
      </c>
      <c r="M27" s="58"/>
    </row>
    <row r="28" spans="1:13">
      <c r="A28" t="s">
        <v>54</v>
      </c>
      <c r="B28" s="58">
        <v>111</v>
      </c>
      <c r="C28" s="62">
        <v>42400.53125</v>
      </c>
      <c r="D28" s="60">
        <f t="shared" si="2"/>
        <v>2.0645833333328483</v>
      </c>
      <c r="E28" s="58">
        <v>6.01</v>
      </c>
      <c r="F28" s="58">
        <v>3.6</v>
      </c>
      <c r="G28" s="58" t="s">
        <v>52</v>
      </c>
      <c r="H28">
        <f t="shared" ref="H28:H44" si="5">E28-IF(G28="h",$M$12,IF(G28="m",$M$13,IF(G28="l",$M$14,-99)))</f>
        <v>6.01</v>
      </c>
      <c r="I28">
        <f t="shared" ref="I28:I44" si="6">F28-IF(G28="h",$M$12,IF(G28="m",$M$13,IF(G28="l",$M$14,-99)))</f>
        <v>3.6</v>
      </c>
      <c r="K28" t="s">
        <v>52</v>
      </c>
      <c r="M28" s="58"/>
    </row>
    <row r="29" spans="1:13">
      <c r="A29" t="s">
        <v>55</v>
      </c>
      <c r="B29" s="58">
        <v>112</v>
      </c>
      <c r="C29" s="62">
        <v>42400.53125</v>
      </c>
      <c r="D29" s="60">
        <f t="shared" si="2"/>
        <v>2.0645833333328483</v>
      </c>
      <c r="E29" s="58">
        <v>7.94</v>
      </c>
      <c r="F29" s="58">
        <v>4.6500000000000004</v>
      </c>
      <c r="G29" s="58" t="s">
        <v>52</v>
      </c>
      <c r="H29">
        <f t="shared" si="5"/>
        <v>7.94</v>
      </c>
      <c r="I29">
        <f t="shared" si="6"/>
        <v>4.6500000000000004</v>
      </c>
      <c r="K29" t="s">
        <v>107</v>
      </c>
      <c r="M29" s="58"/>
    </row>
    <row r="30" spans="1:13">
      <c r="A30" t="s">
        <v>56</v>
      </c>
      <c r="B30" s="58">
        <v>113</v>
      </c>
      <c r="C30" s="62">
        <v>42400.552083333336</v>
      </c>
      <c r="D30" s="60">
        <f t="shared" si="2"/>
        <v>2.0854166666686069</v>
      </c>
      <c r="E30" s="58">
        <v>8.48</v>
      </c>
      <c r="F30" s="58">
        <v>4.9000000000000004</v>
      </c>
      <c r="G30" s="58" t="s">
        <v>52</v>
      </c>
      <c r="H30">
        <f t="shared" si="5"/>
        <v>8.48</v>
      </c>
      <c r="I30">
        <f t="shared" si="6"/>
        <v>4.9000000000000004</v>
      </c>
    </row>
    <row r="31" spans="1:13">
      <c r="A31" t="s">
        <v>57</v>
      </c>
      <c r="B31" s="58">
        <v>114</v>
      </c>
      <c r="C31" s="62">
        <v>42400.552083333336</v>
      </c>
      <c r="D31" s="60">
        <f t="shared" si="2"/>
        <v>2.0854166666686069</v>
      </c>
      <c r="E31" s="58">
        <v>8.84</v>
      </c>
      <c r="F31" s="58">
        <v>5.0999999999999996</v>
      </c>
      <c r="G31" s="58" t="s">
        <v>52</v>
      </c>
      <c r="H31">
        <f t="shared" si="5"/>
        <v>8.84</v>
      </c>
      <c r="I31">
        <f t="shared" si="6"/>
        <v>5.0999999999999996</v>
      </c>
    </row>
    <row r="32" spans="1:13">
      <c r="A32" t="s">
        <v>58</v>
      </c>
      <c r="B32" s="58">
        <v>115</v>
      </c>
      <c r="C32" s="62">
        <v>42400.552083333336</v>
      </c>
      <c r="D32" s="60">
        <f t="shared" si="2"/>
        <v>2.0854166666686069</v>
      </c>
      <c r="E32" s="58">
        <v>9.41</v>
      </c>
      <c r="F32" s="58">
        <v>5.46</v>
      </c>
      <c r="G32" s="58" t="s">
        <v>52</v>
      </c>
      <c r="H32">
        <f t="shared" si="5"/>
        <v>9.41</v>
      </c>
      <c r="I32">
        <f t="shared" si="6"/>
        <v>5.46</v>
      </c>
    </row>
    <row r="33" spans="1:9">
      <c r="A33" t="s">
        <v>59</v>
      </c>
      <c r="B33" s="58">
        <v>116</v>
      </c>
      <c r="C33" s="62">
        <v>42400.572916666664</v>
      </c>
      <c r="D33" s="60">
        <f t="shared" si="2"/>
        <v>2.1062499999970896</v>
      </c>
      <c r="E33" s="58">
        <v>8.42</v>
      </c>
      <c r="F33" s="58">
        <v>4.8099999999999996</v>
      </c>
      <c r="G33" s="58" t="s">
        <v>52</v>
      </c>
      <c r="H33">
        <f t="shared" si="5"/>
        <v>8.42</v>
      </c>
      <c r="I33">
        <f t="shared" si="6"/>
        <v>4.8099999999999996</v>
      </c>
    </row>
    <row r="34" spans="1:9">
      <c r="A34" t="s">
        <v>60</v>
      </c>
      <c r="B34" s="58">
        <v>117</v>
      </c>
      <c r="C34" s="62">
        <v>42400.572916666664</v>
      </c>
      <c r="D34" s="60">
        <f t="shared" si="2"/>
        <v>2.1062499999970896</v>
      </c>
      <c r="E34" s="58">
        <v>8.7799999999999994</v>
      </c>
      <c r="F34" s="58">
        <v>5.12</v>
      </c>
      <c r="G34" s="58" t="s">
        <v>52</v>
      </c>
      <c r="H34">
        <f t="shared" si="5"/>
        <v>8.7799999999999994</v>
      </c>
      <c r="I34">
        <f t="shared" si="6"/>
        <v>5.12</v>
      </c>
    </row>
    <row r="35" spans="1:9">
      <c r="A35" t="s">
        <v>61</v>
      </c>
      <c r="B35" s="58">
        <v>118</v>
      </c>
      <c r="C35" s="62">
        <v>42400.572916666664</v>
      </c>
      <c r="D35" s="60">
        <f t="shared" si="2"/>
        <v>2.1062499999970896</v>
      </c>
      <c r="E35" s="58">
        <v>7.68</v>
      </c>
      <c r="F35" s="58">
        <v>4.4800000000000004</v>
      </c>
      <c r="G35" s="58" t="s">
        <v>52</v>
      </c>
      <c r="H35">
        <f t="shared" si="5"/>
        <v>7.68</v>
      </c>
      <c r="I35">
        <f t="shared" si="6"/>
        <v>4.4800000000000004</v>
      </c>
    </row>
    <row r="36" spans="1:9">
      <c r="A36" t="s">
        <v>62</v>
      </c>
      <c r="B36" s="58">
        <v>119</v>
      </c>
      <c r="C36" s="62">
        <v>42400.59375</v>
      </c>
      <c r="D36" s="60">
        <f t="shared" si="2"/>
        <v>2.1270833333328483</v>
      </c>
      <c r="E36" s="58">
        <v>6.56</v>
      </c>
      <c r="F36" s="58">
        <v>3.71</v>
      </c>
      <c r="G36" s="58" t="s">
        <v>52</v>
      </c>
      <c r="H36">
        <f t="shared" si="5"/>
        <v>6.56</v>
      </c>
      <c r="I36">
        <f t="shared" si="6"/>
        <v>3.71</v>
      </c>
    </row>
    <row r="37" spans="1:9">
      <c r="A37" t="s">
        <v>63</v>
      </c>
      <c r="B37" s="58">
        <v>120</v>
      </c>
      <c r="C37" s="62">
        <v>42400.59375</v>
      </c>
      <c r="D37" s="60">
        <f t="shared" si="2"/>
        <v>2.1270833333328483</v>
      </c>
      <c r="E37" s="58">
        <v>6.89</v>
      </c>
      <c r="F37" s="58">
        <v>4.1100000000000003</v>
      </c>
      <c r="G37" s="58" t="s">
        <v>52</v>
      </c>
      <c r="H37">
        <f t="shared" si="5"/>
        <v>6.89</v>
      </c>
      <c r="I37">
        <f t="shared" si="6"/>
        <v>4.1100000000000003</v>
      </c>
    </row>
    <row r="38" spans="1:9">
      <c r="A38" t="s">
        <v>64</v>
      </c>
      <c r="B38" s="58">
        <v>121</v>
      </c>
      <c r="C38" s="62">
        <v>42400.59375</v>
      </c>
      <c r="D38" s="60">
        <f t="shared" si="2"/>
        <v>2.1270833333328483</v>
      </c>
      <c r="E38" s="58">
        <v>6.57</v>
      </c>
      <c r="F38" s="58">
        <v>3.8</v>
      </c>
      <c r="G38" s="58" t="s">
        <v>52</v>
      </c>
      <c r="H38">
        <f t="shared" si="5"/>
        <v>6.57</v>
      </c>
      <c r="I38">
        <f t="shared" si="6"/>
        <v>3.8</v>
      </c>
    </row>
    <row r="39" spans="1:9">
      <c r="A39" t="s">
        <v>65</v>
      </c>
      <c r="B39" s="58">
        <v>122</v>
      </c>
      <c r="C39" s="62">
        <v>42400.611111111109</v>
      </c>
      <c r="D39" s="60">
        <f t="shared" si="2"/>
        <v>2.1444444444423425</v>
      </c>
      <c r="E39" s="58">
        <v>6.86</v>
      </c>
      <c r="F39" s="58">
        <v>4</v>
      </c>
      <c r="G39" s="58" t="s">
        <v>52</v>
      </c>
      <c r="H39">
        <f>E39-IF(G39="h",$M$12,IF(G39="m",$M$13,IF(G39="l",$M$14,-99)))</f>
        <v>6.86</v>
      </c>
      <c r="I39">
        <f t="shared" si="6"/>
        <v>4</v>
      </c>
    </row>
    <row r="40" spans="1:9">
      <c r="A40" t="s">
        <v>66</v>
      </c>
      <c r="B40" s="58">
        <v>123</v>
      </c>
      <c r="C40" s="62">
        <v>42400.611111111109</v>
      </c>
      <c r="D40" s="60">
        <f t="shared" si="2"/>
        <v>2.1444444444423425</v>
      </c>
      <c r="E40" s="58">
        <v>7.91</v>
      </c>
      <c r="F40" s="58">
        <v>4.47</v>
      </c>
      <c r="G40" s="58" t="s">
        <v>52</v>
      </c>
      <c r="H40">
        <f t="shared" si="5"/>
        <v>7.91</v>
      </c>
      <c r="I40">
        <f t="shared" si="6"/>
        <v>4.47</v>
      </c>
    </row>
    <row r="41" spans="1:9">
      <c r="A41" t="s">
        <v>67</v>
      </c>
      <c r="B41" s="58">
        <v>124</v>
      </c>
      <c r="C41" s="62">
        <v>42400.611111111109</v>
      </c>
      <c r="D41" s="60">
        <f t="shared" si="2"/>
        <v>2.1444444444423425</v>
      </c>
      <c r="E41" s="58">
        <v>7.49</v>
      </c>
      <c r="F41" s="58">
        <v>4.37</v>
      </c>
      <c r="G41" s="58" t="s">
        <v>52</v>
      </c>
      <c r="H41">
        <f t="shared" si="5"/>
        <v>7.49</v>
      </c>
      <c r="I41">
        <f t="shared" si="6"/>
        <v>4.37</v>
      </c>
    </row>
    <row r="42" spans="1:9">
      <c r="A42" t="s">
        <v>68</v>
      </c>
      <c r="B42" s="58">
        <v>125</v>
      </c>
      <c r="C42" s="62">
        <v>42400.631944444445</v>
      </c>
      <c r="D42" s="60">
        <f t="shared" si="2"/>
        <v>2.1652777777781012</v>
      </c>
      <c r="E42" s="58">
        <v>6.76</v>
      </c>
      <c r="F42" s="58">
        <v>3.7</v>
      </c>
      <c r="G42" s="58" t="s">
        <v>52</v>
      </c>
      <c r="H42">
        <f t="shared" si="5"/>
        <v>6.76</v>
      </c>
      <c r="I42">
        <f t="shared" si="6"/>
        <v>3.7</v>
      </c>
    </row>
    <row r="43" spans="1:9">
      <c r="A43" t="s">
        <v>69</v>
      </c>
      <c r="B43" s="58">
        <v>126</v>
      </c>
      <c r="C43" s="62">
        <v>42400.631944444445</v>
      </c>
      <c r="D43" s="60">
        <f t="shared" si="2"/>
        <v>2.1652777777781012</v>
      </c>
      <c r="E43" s="58">
        <v>6.61</v>
      </c>
      <c r="F43" s="58">
        <v>3.91</v>
      </c>
      <c r="G43" s="58" t="s">
        <v>52</v>
      </c>
      <c r="H43">
        <f t="shared" si="5"/>
        <v>6.61</v>
      </c>
      <c r="I43">
        <f t="shared" si="6"/>
        <v>3.91</v>
      </c>
    </row>
    <row r="44" spans="1:9">
      <c r="A44" t="s">
        <v>70</v>
      </c>
      <c r="B44" s="58">
        <v>127</v>
      </c>
      <c r="C44" s="62">
        <v>42400.631944444445</v>
      </c>
      <c r="D44" s="60">
        <f t="shared" si="2"/>
        <v>2.1652777777781012</v>
      </c>
      <c r="E44" s="58">
        <v>6.42</v>
      </c>
      <c r="F44" s="58">
        <v>3.47</v>
      </c>
      <c r="G44" s="58" t="s">
        <v>52</v>
      </c>
      <c r="H44">
        <f t="shared" si="5"/>
        <v>6.42</v>
      </c>
      <c r="I44">
        <f t="shared" si="6"/>
        <v>3.47</v>
      </c>
    </row>
    <row r="45" spans="1:9">
      <c r="A45" t="s">
        <v>53</v>
      </c>
      <c r="B45" s="58">
        <v>218</v>
      </c>
      <c r="C45" s="62">
        <v>42403.53125</v>
      </c>
      <c r="D45" s="60">
        <f t="shared" si="2"/>
        <v>5.0645833333328483</v>
      </c>
      <c r="E45" s="58">
        <v>7.04</v>
      </c>
      <c r="F45" s="58">
        <v>4.12</v>
      </c>
      <c r="G45" s="58" t="s">
        <v>52</v>
      </c>
      <c r="H45">
        <f>E45-IF(G45="h",$M$15,IF(G45="m",$M$16,IF(G45="l",$M$17,-99)))</f>
        <v>7.04</v>
      </c>
      <c r="I45">
        <f>F45-IF(G45="h",$M$15,IF(G45="m",$M$16,IF(G45="l",$M$17,-99)))</f>
        <v>4.12</v>
      </c>
    </row>
    <row r="46" spans="1:9">
      <c r="A46" t="s">
        <v>54</v>
      </c>
      <c r="B46" s="58">
        <v>219</v>
      </c>
      <c r="C46" s="62">
        <v>42403.53125</v>
      </c>
      <c r="D46" s="60">
        <f t="shared" si="2"/>
        <v>5.0645833333328483</v>
      </c>
      <c r="E46" s="58">
        <v>6.01</v>
      </c>
      <c r="F46" s="58">
        <v>3.6</v>
      </c>
      <c r="G46" s="58" t="s">
        <v>52</v>
      </c>
      <c r="H46">
        <f t="shared" ref="H46:H62" si="7">E46-IF(G46="h",$M$15,IF(G46="m",$M$16,IF(G46="l",$M$17,-99)))</f>
        <v>6.01</v>
      </c>
      <c r="I46">
        <f t="shared" ref="I46:I62" si="8">F46-IF(G46="h",$M$15,IF(G46="m",$M$16,IF(G46="l",$M$17,-99)))</f>
        <v>3.6</v>
      </c>
    </row>
    <row r="47" spans="1:9">
      <c r="A47" t="s">
        <v>55</v>
      </c>
      <c r="B47" s="58">
        <v>220</v>
      </c>
      <c r="C47" s="62">
        <v>42403.53125</v>
      </c>
      <c r="D47" s="60">
        <f t="shared" si="2"/>
        <v>5.0645833333328483</v>
      </c>
      <c r="E47" s="58">
        <v>7.94</v>
      </c>
      <c r="F47" s="58">
        <v>4.6500000000000004</v>
      </c>
      <c r="G47" s="58" t="s">
        <v>52</v>
      </c>
      <c r="H47">
        <f t="shared" si="7"/>
        <v>7.94</v>
      </c>
      <c r="I47">
        <f t="shared" si="8"/>
        <v>4.6500000000000004</v>
      </c>
    </row>
    <row r="48" spans="1:9">
      <c r="A48" t="s">
        <v>56</v>
      </c>
      <c r="B48" s="58">
        <v>221</v>
      </c>
      <c r="C48" s="62">
        <v>42403.552083333336</v>
      </c>
      <c r="D48" s="60">
        <f t="shared" si="2"/>
        <v>5.0854166666686069</v>
      </c>
      <c r="E48" s="58">
        <v>8.48</v>
      </c>
      <c r="F48" s="58">
        <v>4.9000000000000004</v>
      </c>
      <c r="G48" s="58" t="s">
        <v>52</v>
      </c>
      <c r="H48">
        <f t="shared" si="7"/>
        <v>8.48</v>
      </c>
      <c r="I48">
        <f t="shared" si="8"/>
        <v>4.9000000000000004</v>
      </c>
    </row>
    <row r="49" spans="1:9">
      <c r="A49" t="s">
        <v>57</v>
      </c>
      <c r="B49" s="58">
        <v>222</v>
      </c>
      <c r="C49" s="62">
        <v>42403.552083333336</v>
      </c>
      <c r="D49" s="60">
        <f t="shared" si="2"/>
        <v>5.0854166666686069</v>
      </c>
      <c r="E49" s="58">
        <v>8.84</v>
      </c>
      <c r="F49" s="58">
        <v>5.0999999999999996</v>
      </c>
      <c r="G49" s="58" t="s">
        <v>52</v>
      </c>
      <c r="H49">
        <f t="shared" si="7"/>
        <v>8.84</v>
      </c>
      <c r="I49">
        <f t="shared" si="8"/>
        <v>5.0999999999999996</v>
      </c>
    </row>
    <row r="50" spans="1:9">
      <c r="A50" t="s">
        <v>58</v>
      </c>
      <c r="B50" s="58">
        <v>223</v>
      </c>
      <c r="C50" s="62">
        <v>42403.552083333336</v>
      </c>
      <c r="D50" s="60">
        <f t="shared" si="2"/>
        <v>5.0854166666686069</v>
      </c>
      <c r="E50" s="58">
        <v>9.41</v>
      </c>
      <c r="F50" s="58">
        <v>5.46</v>
      </c>
      <c r="G50" s="58" t="s">
        <v>52</v>
      </c>
      <c r="H50">
        <f t="shared" si="7"/>
        <v>9.41</v>
      </c>
      <c r="I50">
        <f t="shared" si="8"/>
        <v>5.46</v>
      </c>
    </row>
    <row r="51" spans="1:9">
      <c r="A51" t="s">
        <v>59</v>
      </c>
      <c r="B51" s="58">
        <v>224</v>
      </c>
      <c r="C51" s="62">
        <v>42403.572916666664</v>
      </c>
      <c r="D51" s="60">
        <f t="shared" si="2"/>
        <v>5.1062499999970896</v>
      </c>
      <c r="E51" s="58">
        <v>8.42</v>
      </c>
      <c r="F51" s="58">
        <v>4.8099999999999996</v>
      </c>
      <c r="G51" s="58" t="s">
        <v>52</v>
      </c>
      <c r="H51">
        <f t="shared" si="7"/>
        <v>8.42</v>
      </c>
      <c r="I51">
        <f t="shared" si="8"/>
        <v>4.8099999999999996</v>
      </c>
    </row>
    <row r="52" spans="1:9">
      <c r="A52" t="s">
        <v>60</v>
      </c>
      <c r="B52" s="58">
        <v>225</v>
      </c>
      <c r="C52" s="62">
        <v>42403.572916666664</v>
      </c>
      <c r="D52" s="60">
        <f t="shared" si="2"/>
        <v>5.1062499999970896</v>
      </c>
      <c r="E52" s="58">
        <v>8.7799999999999994</v>
      </c>
      <c r="F52" s="58">
        <v>5.12</v>
      </c>
      <c r="G52" s="58" t="s">
        <v>52</v>
      </c>
      <c r="H52">
        <f t="shared" si="7"/>
        <v>8.7799999999999994</v>
      </c>
      <c r="I52">
        <f t="shared" si="8"/>
        <v>5.12</v>
      </c>
    </row>
    <row r="53" spans="1:9">
      <c r="A53" t="s">
        <v>61</v>
      </c>
      <c r="B53" s="58">
        <v>226</v>
      </c>
      <c r="C53" s="62">
        <v>42403.572916666664</v>
      </c>
      <c r="D53" s="60">
        <f t="shared" si="2"/>
        <v>5.1062499999970896</v>
      </c>
      <c r="E53" s="58">
        <v>7.68</v>
      </c>
      <c r="F53" s="58">
        <v>4.4800000000000004</v>
      </c>
      <c r="G53" s="58" t="s">
        <v>52</v>
      </c>
      <c r="H53">
        <f t="shared" si="7"/>
        <v>7.68</v>
      </c>
      <c r="I53">
        <f t="shared" si="8"/>
        <v>4.4800000000000004</v>
      </c>
    </row>
    <row r="54" spans="1:9">
      <c r="A54" t="s">
        <v>62</v>
      </c>
      <c r="B54" s="58">
        <v>227</v>
      </c>
      <c r="C54" s="62">
        <v>42403.59375</v>
      </c>
      <c r="D54" s="60">
        <f t="shared" si="2"/>
        <v>5.1270833333328483</v>
      </c>
      <c r="E54" s="58">
        <v>6.56</v>
      </c>
      <c r="F54" s="58">
        <v>3.71</v>
      </c>
      <c r="G54" s="58" t="s">
        <v>52</v>
      </c>
      <c r="H54">
        <f t="shared" si="7"/>
        <v>6.56</v>
      </c>
      <c r="I54">
        <f t="shared" si="8"/>
        <v>3.71</v>
      </c>
    </row>
    <row r="55" spans="1:9">
      <c r="A55" t="s">
        <v>63</v>
      </c>
      <c r="B55" s="58">
        <v>228</v>
      </c>
      <c r="C55" s="62">
        <v>42403.59375</v>
      </c>
      <c r="D55" s="60">
        <f t="shared" si="2"/>
        <v>5.1270833333328483</v>
      </c>
      <c r="E55" s="58">
        <v>6.89</v>
      </c>
      <c r="F55" s="58">
        <v>4.1100000000000003</v>
      </c>
      <c r="G55" s="58" t="s">
        <v>52</v>
      </c>
      <c r="H55">
        <f t="shared" si="7"/>
        <v>6.89</v>
      </c>
      <c r="I55">
        <f t="shared" si="8"/>
        <v>4.1100000000000003</v>
      </c>
    </row>
    <row r="56" spans="1:9">
      <c r="A56" t="s">
        <v>64</v>
      </c>
      <c r="B56" s="58">
        <v>229</v>
      </c>
      <c r="C56" s="62">
        <v>42403.59375</v>
      </c>
      <c r="D56" s="60">
        <f t="shared" si="2"/>
        <v>5.1270833333328483</v>
      </c>
      <c r="E56" s="58">
        <v>6.57</v>
      </c>
      <c r="F56" s="58">
        <v>3.8</v>
      </c>
      <c r="G56" s="58" t="s">
        <v>52</v>
      </c>
      <c r="H56">
        <f t="shared" si="7"/>
        <v>6.57</v>
      </c>
      <c r="I56">
        <f t="shared" si="8"/>
        <v>3.8</v>
      </c>
    </row>
    <row r="57" spans="1:9">
      <c r="A57" t="s">
        <v>65</v>
      </c>
      <c r="B57" s="58">
        <v>230</v>
      </c>
      <c r="C57" s="62">
        <v>42403.611111111109</v>
      </c>
      <c r="D57" s="60">
        <f t="shared" si="2"/>
        <v>5.1444444444423425</v>
      </c>
      <c r="E57" s="58">
        <v>6.86</v>
      </c>
      <c r="F57" s="58">
        <v>4</v>
      </c>
      <c r="G57" s="58" t="s">
        <v>52</v>
      </c>
      <c r="H57">
        <f t="shared" si="7"/>
        <v>6.86</v>
      </c>
      <c r="I57">
        <f t="shared" si="8"/>
        <v>4</v>
      </c>
    </row>
    <row r="58" spans="1:9">
      <c r="A58" t="s">
        <v>66</v>
      </c>
      <c r="B58" s="58">
        <v>231</v>
      </c>
      <c r="C58" s="62">
        <v>42403.611111111109</v>
      </c>
      <c r="D58" s="60">
        <f t="shared" si="2"/>
        <v>5.1444444444423425</v>
      </c>
      <c r="E58" s="58">
        <v>7.91</v>
      </c>
      <c r="F58" s="58">
        <v>4.47</v>
      </c>
      <c r="G58" s="58" t="s">
        <v>52</v>
      </c>
      <c r="H58">
        <f t="shared" si="7"/>
        <v>7.91</v>
      </c>
      <c r="I58">
        <f t="shared" si="8"/>
        <v>4.47</v>
      </c>
    </row>
    <row r="59" spans="1:9">
      <c r="A59" t="s">
        <v>67</v>
      </c>
      <c r="B59" s="58">
        <v>232</v>
      </c>
      <c r="C59" s="62">
        <v>42403.611111111109</v>
      </c>
      <c r="D59" s="60">
        <f t="shared" si="2"/>
        <v>5.1444444444423425</v>
      </c>
      <c r="E59" s="58">
        <v>7.49</v>
      </c>
      <c r="F59" s="58">
        <v>4.37</v>
      </c>
      <c r="G59" s="58" t="s">
        <v>52</v>
      </c>
      <c r="H59">
        <f t="shared" si="7"/>
        <v>7.49</v>
      </c>
      <c r="I59">
        <f t="shared" si="8"/>
        <v>4.37</v>
      </c>
    </row>
    <row r="60" spans="1:9">
      <c r="A60" t="s">
        <v>68</v>
      </c>
      <c r="B60" s="58">
        <v>233</v>
      </c>
      <c r="C60" s="62">
        <v>42403.631944444445</v>
      </c>
      <c r="D60" s="60">
        <f t="shared" si="2"/>
        <v>5.1652777777781012</v>
      </c>
      <c r="E60" s="58">
        <v>6.76</v>
      </c>
      <c r="F60" s="58">
        <v>3.7</v>
      </c>
      <c r="G60" s="58" t="s">
        <v>52</v>
      </c>
      <c r="H60">
        <f t="shared" si="7"/>
        <v>6.76</v>
      </c>
      <c r="I60">
        <f t="shared" si="8"/>
        <v>3.7</v>
      </c>
    </row>
    <row r="61" spans="1:9">
      <c r="A61" t="s">
        <v>69</v>
      </c>
      <c r="B61" s="58">
        <v>234</v>
      </c>
      <c r="C61" s="62">
        <v>42403.631944444445</v>
      </c>
      <c r="D61" s="60">
        <f t="shared" si="2"/>
        <v>5.1652777777781012</v>
      </c>
      <c r="E61" s="58">
        <v>6.61</v>
      </c>
      <c r="F61" s="58">
        <v>3.91</v>
      </c>
      <c r="G61" s="58" t="s">
        <v>52</v>
      </c>
      <c r="H61">
        <f t="shared" si="7"/>
        <v>6.61</v>
      </c>
      <c r="I61">
        <f t="shared" si="8"/>
        <v>3.91</v>
      </c>
    </row>
    <row r="62" spans="1:9">
      <c r="A62" t="s">
        <v>70</v>
      </c>
      <c r="B62" s="58">
        <v>235</v>
      </c>
      <c r="C62" s="62">
        <v>42403.631944444445</v>
      </c>
      <c r="D62" s="60">
        <f t="shared" si="2"/>
        <v>5.1652777777781012</v>
      </c>
      <c r="E62" s="58">
        <v>6.42</v>
      </c>
      <c r="F62" s="58">
        <v>3.47</v>
      </c>
      <c r="G62" s="58" t="s">
        <v>52</v>
      </c>
      <c r="H62">
        <f t="shared" si="7"/>
        <v>6.42</v>
      </c>
      <c r="I62">
        <f t="shared" si="8"/>
        <v>3.47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61"/>
  <sheetViews>
    <sheetView topLeftCell="B1" workbookViewId="0">
      <selection activeCell="G2" sqref="G2"/>
    </sheetView>
  </sheetViews>
  <sheetFormatPr defaultColWidth="11.42578125" defaultRowHeight="12.75"/>
  <cols>
    <col min="1" max="1" width="10.28515625" customWidth="1"/>
    <col min="2" max="2" width="6" customWidth="1"/>
    <col min="3" max="3" width="10.140625" customWidth="1"/>
    <col min="4" max="4" width="9" style="16" customWidth="1"/>
    <col min="5" max="5" width="8.7109375" customWidth="1"/>
    <col min="6" max="6" width="9.85546875" customWidth="1"/>
    <col min="7" max="7" width="6.5703125" style="2" customWidth="1"/>
    <col min="8" max="8" width="6.5703125" style="14" customWidth="1"/>
    <col min="9" max="9" width="8" customWidth="1"/>
    <col min="10" max="10" width="10.5703125" customWidth="1"/>
    <col min="11" max="11" width="9.7109375" customWidth="1"/>
    <col min="12" max="12" width="9.28515625" customWidth="1"/>
    <col min="13" max="13" width="8.140625" customWidth="1"/>
    <col min="14" max="14" width="9.28515625" customWidth="1"/>
    <col min="15" max="15" width="9" customWidth="1"/>
    <col min="16" max="16" width="8.5703125" customWidth="1"/>
    <col min="17" max="17" width="11.42578125" customWidth="1"/>
    <col min="18" max="18" width="9.42578125" customWidth="1"/>
    <col min="19" max="19" width="10" customWidth="1"/>
    <col min="20" max="20" width="12.5703125" customWidth="1"/>
  </cols>
  <sheetData>
    <row r="1" spans="1:21" s="10" customFormat="1" ht="30" customHeight="1">
      <c r="A1" s="3" t="s">
        <v>0</v>
      </c>
      <c r="B1" s="3" t="s">
        <v>1</v>
      </c>
      <c r="C1" s="3" t="s">
        <v>2</v>
      </c>
      <c r="D1" s="15" t="s">
        <v>73</v>
      </c>
      <c r="E1" s="3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3" t="s">
        <v>19</v>
      </c>
      <c r="K1" s="7" t="s">
        <v>8</v>
      </c>
      <c r="L1" s="7" t="s">
        <v>9</v>
      </c>
      <c r="M1" s="7" t="s">
        <v>10</v>
      </c>
      <c r="N1" s="7" t="s">
        <v>11</v>
      </c>
      <c r="O1" s="8" t="s">
        <v>12</v>
      </c>
      <c r="P1" s="8" t="s">
        <v>13</v>
      </c>
      <c r="Q1" s="8" t="s">
        <v>14</v>
      </c>
      <c r="R1" s="9" t="s">
        <v>15</v>
      </c>
      <c r="S1" s="9" t="s">
        <v>16</v>
      </c>
      <c r="T1" s="9" t="s">
        <v>17</v>
      </c>
      <c r="U1" s="10" t="s">
        <v>49</v>
      </c>
    </row>
    <row r="2" spans="1:21" s="13" customFormat="1" ht="12.95" customHeight="1">
      <c r="A2">
        <f>Entry!B3</f>
        <v>52</v>
      </c>
      <c r="B2" s="11" t="s">
        <v>18</v>
      </c>
      <c r="C2" s="19">
        <f>Entry!C3</f>
        <v>42398.466666666667</v>
      </c>
      <c r="D2" s="43">
        <f>Entry!D3</f>
        <v>0</v>
      </c>
      <c r="E2" s="11">
        <v>100</v>
      </c>
      <c r="F2" s="11">
        <v>10</v>
      </c>
      <c r="G2" s="36">
        <f>Entry!H3</f>
        <v>12.183</v>
      </c>
      <c r="H2" s="36">
        <f>Entry!I3</f>
        <v>7.1229999999999993</v>
      </c>
      <c r="I2" s="12">
        <v>1</v>
      </c>
      <c r="J2" s="32">
        <f>Entry!J3</f>
        <v>1.9438</v>
      </c>
      <c r="K2" s="37">
        <f>G2*(F2/E2)*I2</f>
        <v>1.2183000000000002</v>
      </c>
      <c r="L2" s="37">
        <f t="shared" ref="L2:L61" si="0">G2/H2</f>
        <v>1.7103748420609295</v>
      </c>
      <c r="M2" s="38"/>
      <c r="N2" s="38"/>
      <c r="O2" s="37">
        <f t="shared" ref="O2:O61" si="1">(G2-H2)*J2*(F2/E2)*I2</f>
        <v>0.98356280000000018</v>
      </c>
      <c r="P2" s="37">
        <f t="shared" ref="P2:P61" si="2">J2*(1.84*H2-G2)*(F2/E2)*I2</f>
        <v>0.17947494160000008</v>
      </c>
      <c r="Q2" s="37">
        <f t="shared" ref="Q2:Q61" si="3">O2+P2</f>
        <v>1.1630377416000002</v>
      </c>
      <c r="R2" s="38"/>
      <c r="S2" s="38"/>
      <c r="T2" s="38"/>
      <c r="U2" s="39"/>
    </row>
    <row r="3" spans="1:21">
      <c r="A3">
        <f>Entry!B4</f>
        <v>53</v>
      </c>
      <c r="B3" s="1" t="s">
        <v>18</v>
      </c>
      <c r="C3" s="19">
        <f>Entry!C4</f>
        <v>42398.466666666667</v>
      </c>
      <c r="D3" s="43">
        <f>Entry!D4</f>
        <v>0</v>
      </c>
      <c r="E3" s="1">
        <v>100</v>
      </c>
      <c r="F3" s="1">
        <v>10</v>
      </c>
      <c r="G3" s="36">
        <f>Entry!H4</f>
        <v>11.883000000000001</v>
      </c>
      <c r="H3" s="36">
        <f>Entry!I4</f>
        <v>7.0429999999999993</v>
      </c>
      <c r="I3" s="12">
        <v>1</v>
      </c>
      <c r="J3" s="32">
        <v>1.9438</v>
      </c>
      <c r="K3" s="37">
        <f t="shared" ref="K3:K61" si="4">G3*(F3/E3)*I3</f>
        <v>1.1883000000000001</v>
      </c>
      <c r="L3" s="37">
        <f t="shared" si="0"/>
        <v>1.6872071560414599</v>
      </c>
      <c r="M3" s="40"/>
      <c r="N3" s="40"/>
      <c r="O3" s="37">
        <f t="shared" si="1"/>
        <v>0.94079920000000039</v>
      </c>
      <c r="P3" s="37">
        <f t="shared" si="2"/>
        <v>0.20917620559999955</v>
      </c>
      <c r="Q3" s="37">
        <f t="shared" si="3"/>
        <v>1.1499754056</v>
      </c>
      <c r="R3" s="40"/>
      <c r="S3" s="40"/>
      <c r="T3" s="40"/>
      <c r="U3" s="41"/>
    </row>
    <row r="4" spans="1:21">
      <c r="A4">
        <f>Entry!B5</f>
        <v>54</v>
      </c>
      <c r="B4" s="1" t="s">
        <v>18</v>
      </c>
      <c r="C4" s="19">
        <f>Entry!C5</f>
        <v>42398.466666666667</v>
      </c>
      <c r="D4" s="43">
        <f>Entry!D5</f>
        <v>0</v>
      </c>
      <c r="E4" s="1">
        <v>100</v>
      </c>
      <c r="F4" s="1">
        <v>10</v>
      </c>
      <c r="G4" s="36">
        <f>Entry!H5</f>
        <v>11.383000000000001</v>
      </c>
      <c r="H4" s="36">
        <f>Entry!I5</f>
        <v>6.6629999999999994</v>
      </c>
      <c r="I4" s="12">
        <v>1</v>
      </c>
      <c r="J4" s="32">
        <v>1.9438</v>
      </c>
      <c r="K4" s="37">
        <f t="shared" si="4"/>
        <v>1.1383000000000001</v>
      </c>
      <c r="L4" s="37">
        <f t="shared" si="0"/>
        <v>1.7083896142878585</v>
      </c>
      <c r="M4" s="40">
        <f>AVERAGE(K2:K4)</f>
        <v>1.1816333333333333</v>
      </c>
      <c r="N4" s="40">
        <f>AVERAGE(L2:L4)</f>
        <v>1.7019905374634161</v>
      </c>
      <c r="O4" s="37">
        <f t="shared" si="1"/>
        <v>0.91747360000000033</v>
      </c>
      <c r="P4" s="37">
        <f t="shared" si="2"/>
        <v>0.17045570959999967</v>
      </c>
      <c r="Q4" s="37">
        <f t="shared" si="3"/>
        <v>1.0879293096</v>
      </c>
      <c r="R4" s="40"/>
      <c r="S4" s="40"/>
      <c r="T4" s="40"/>
      <c r="U4" s="41"/>
    </row>
    <row r="5" spans="1:21">
      <c r="A5">
        <f>Entry!B6</f>
        <v>57</v>
      </c>
      <c r="B5" s="1" t="s">
        <v>18</v>
      </c>
      <c r="C5" s="19">
        <f>Entry!C6</f>
        <v>42398.55972222222</v>
      </c>
      <c r="D5" s="43">
        <f>Entry!D6</f>
        <v>9.3055555553291924E-2</v>
      </c>
      <c r="E5" s="1">
        <v>100</v>
      </c>
      <c r="F5" s="1">
        <v>10</v>
      </c>
      <c r="G5" s="36">
        <f>Entry!H6</f>
        <v>8.8500000000000014</v>
      </c>
      <c r="H5" s="36">
        <f>Entry!I6</f>
        <v>5.1099999999999994</v>
      </c>
      <c r="I5" s="12">
        <v>1</v>
      </c>
      <c r="J5" s="32">
        <v>1.9438</v>
      </c>
      <c r="K5" s="37">
        <f t="shared" si="4"/>
        <v>0.88500000000000023</v>
      </c>
      <c r="L5" s="37">
        <f t="shared" si="0"/>
        <v>1.7318982387475543</v>
      </c>
      <c r="M5" s="40"/>
      <c r="N5" s="40"/>
      <c r="O5" s="37">
        <f t="shared" si="1"/>
        <v>0.72698120000000044</v>
      </c>
      <c r="P5" s="37">
        <f t="shared" si="2"/>
        <v>0.10737551199999976</v>
      </c>
      <c r="Q5" s="37">
        <f t="shared" si="3"/>
        <v>0.83435671200000017</v>
      </c>
      <c r="R5" s="40"/>
      <c r="S5" s="40"/>
      <c r="T5" s="40"/>
      <c r="U5" s="41"/>
    </row>
    <row r="6" spans="1:21">
      <c r="A6">
        <f>Entry!B7</f>
        <v>58</v>
      </c>
      <c r="B6" s="1" t="s">
        <v>18</v>
      </c>
      <c r="C6" s="19">
        <f>Entry!C7</f>
        <v>42398.55972222222</v>
      </c>
      <c r="D6" s="43">
        <f>Entry!D7</f>
        <v>9.3055555553291924E-2</v>
      </c>
      <c r="E6" s="1">
        <v>100</v>
      </c>
      <c r="F6" s="1">
        <v>10</v>
      </c>
      <c r="G6" s="36">
        <f>Entry!H7</f>
        <v>6.34</v>
      </c>
      <c r="H6" s="36">
        <f>Entry!I7</f>
        <v>3.21</v>
      </c>
      <c r="I6" s="12">
        <v>1</v>
      </c>
      <c r="J6" s="32">
        <v>1.9438</v>
      </c>
      <c r="K6" s="37">
        <f t="shared" si="4"/>
        <v>0.63400000000000001</v>
      </c>
      <c r="L6" s="37">
        <f t="shared" si="0"/>
        <v>1.9750778816199377</v>
      </c>
      <c r="M6" s="40"/>
      <c r="N6" s="40"/>
      <c r="O6" s="37">
        <f t="shared" si="1"/>
        <v>0.60840939999999999</v>
      </c>
      <c r="P6" s="37">
        <f t="shared" si="2"/>
        <v>-8.4283167999999867E-2</v>
      </c>
      <c r="Q6" s="37">
        <f t="shared" si="3"/>
        <v>0.52412623200000008</v>
      </c>
      <c r="R6" s="40"/>
      <c r="S6" s="40"/>
      <c r="T6" s="40"/>
      <c r="U6" s="41"/>
    </row>
    <row r="7" spans="1:21">
      <c r="A7">
        <f>Entry!B8</f>
        <v>59</v>
      </c>
      <c r="B7" s="1" t="s">
        <v>18</v>
      </c>
      <c r="C7" s="19">
        <f>Entry!C8</f>
        <v>42398.55972222222</v>
      </c>
      <c r="D7" s="43">
        <f>Entry!D8</f>
        <v>9.3055555553291924E-2</v>
      </c>
      <c r="E7" s="1">
        <v>100</v>
      </c>
      <c r="F7" s="1">
        <v>10</v>
      </c>
      <c r="G7" s="36">
        <f>Entry!H8</f>
        <v>7.9099999999999993</v>
      </c>
      <c r="H7" s="36">
        <f>Entry!I8</f>
        <v>4.37</v>
      </c>
      <c r="I7" s="12">
        <v>1</v>
      </c>
      <c r="J7" s="32">
        <v>1.9438</v>
      </c>
      <c r="K7" s="37">
        <f t="shared" si="4"/>
        <v>0.79099999999999993</v>
      </c>
      <c r="L7" s="37">
        <f t="shared" si="0"/>
        <v>1.8100686498855834</v>
      </c>
      <c r="M7" s="34">
        <f>AVERAGE(K5:K7)</f>
        <v>0.77</v>
      </c>
      <c r="N7" s="34">
        <v>1.839014923417692</v>
      </c>
      <c r="O7" s="37">
        <f t="shared" si="1"/>
        <v>0.68810519999999986</v>
      </c>
      <c r="P7" s="37">
        <f t="shared" si="2"/>
        <v>2.542490400000031E-2</v>
      </c>
      <c r="Q7" s="37">
        <f t="shared" si="3"/>
        <v>0.71353010400000016</v>
      </c>
      <c r="R7" s="40"/>
      <c r="S7" s="40"/>
      <c r="T7" s="40"/>
      <c r="U7" s="41"/>
    </row>
    <row r="8" spans="1:21">
      <c r="A8">
        <f>Entry!B9</f>
        <v>77</v>
      </c>
      <c r="B8" s="1" t="s">
        <v>18</v>
      </c>
      <c r="C8" s="19">
        <f>Entry!C9</f>
        <v>42399.520833333336</v>
      </c>
      <c r="D8" s="43">
        <f>Entry!D9</f>
        <v>1.0541666666686069</v>
      </c>
      <c r="E8" s="1">
        <v>100</v>
      </c>
      <c r="F8" s="1">
        <v>10</v>
      </c>
      <c r="G8" s="36">
        <f>Entry!H9</f>
        <v>0.1</v>
      </c>
      <c r="H8" s="36">
        <f>Entry!I9</f>
        <v>0.1</v>
      </c>
      <c r="I8" s="12">
        <v>1</v>
      </c>
      <c r="J8" s="32">
        <v>1.9438</v>
      </c>
      <c r="K8" s="37">
        <f t="shared" si="4"/>
        <v>1.0000000000000002E-2</v>
      </c>
      <c r="L8" s="37">
        <f t="shared" si="0"/>
        <v>1</v>
      </c>
      <c r="M8" s="34"/>
      <c r="N8" s="34"/>
      <c r="O8" s="37">
        <f t="shared" si="1"/>
        <v>0</v>
      </c>
      <c r="P8" s="37">
        <f t="shared" si="2"/>
        <v>1.6327920000000006E-2</v>
      </c>
      <c r="Q8" s="37">
        <f t="shared" si="3"/>
        <v>1.6327920000000006E-2</v>
      </c>
      <c r="R8" s="40"/>
      <c r="S8" s="40"/>
      <c r="T8" s="40"/>
      <c r="U8" s="42"/>
    </row>
    <row r="9" spans="1:21">
      <c r="A9">
        <f>Entry!B10</f>
        <v>78</v>
      </c>
      <c r="B9" s="1" t="s">
        <v>18</v>
      </c>
      <c r="C9" s="19">
        <f>Entry!C10</f>
        <v>42399.520833333336</v>
      </c>
      <c r="D9" s="43">
        <f>Entry!D10</f>
        <v>1.0541666666686069</v>
      </c>
      <c r="E9" s="1">
        <v>100</v>
      </c>
      <c r="F9" s="1">
        <v>10</v>
      </c>
      <c r="G9" s="36">
        <f>Entry!H10</f>
        <v>9.0399999999999991</v>
      </c>
      <c r="H9" s="36">
        <f>Entry!I10</f>
        <v>5.27</v>
      </c>
      <c r="I9" s="12">
        <v>1</v>
      </c>
      <c r="J9" s="32">
        <v>1.9438</v>
      </c>
      <c r="K9" s="37">
        <f t="shared" si="4"/>
        <v>0.90399999999999991</v>
      </c>
      <c r="L9" s="37">
        <f t="shared" si="0"/>
        <v>1.715370018975332</v>
      </c>
      <c r="M9" s="34"/>
      <c r="N9" s="34"/>
      <c r="O9" s="37">
        <f t="shared" si="1"/>
        <v>0.73281259999999993</v>
      </c>
      <c r="P9" s="37">
        <f t="shared" si="2"/>
        <v>0.12766878400000012</v>
      </c>
      <c r="Q9" s="37">
        <f t="shared" si="3"/>
        <v>0.86048138400000007</v>
      </c>
      <c r="R9" s="40"/>
      <c r="S9" s="40"/>
      <c r="T9" s="40"/>
      <c r="U9" s="41"/>
    </row>
    <row r="10" spans="1:21">
      <c r="A10">
        <f>Entry!B11</f>
        <v>79</v>
      </c>
      <c r="B10" s="1" t="s">
        <v>18</v>
      </c>
      <c r="C10" s="19">
        <f>Entry!C11</f>
        <v>42399.520833333336</v>
      </c>
      <c r="D10" s="43">
        <f>Entry!D11</f>
        <v>1.0541666666686069</v>
      </c>
      <c r="E10" s="1">
        <v>100</v>
      </c>
      <c r="F10" s="1">
        <v>10</v>
      </c>
      <c r="G10" s="36">
        <f>Entry!H11</f>
        <v>8.6199999999999992</v>
      </c>
      <c r="H10" s="36">
        <f>Entry!I11</f>
        <v>5.12</v>
      </c>
      <c r="I10" s="12">
        <v>1</v>
      </c>
      <c r="J10" s="32">
        <v>1.9438</v>
      </c>
      <c r="K10" s="37">
        <f t="shared" si="4"/>
        <v>0.86199999999999999</v>
      </c>
      <c r="L10" s="37">
        <f t="shared" si="0"/>
        <v>1.6835937499999998</v>
      </c>
      <c r="M10" s="34">
        <f>AVERAGE(K8:K10)</f>
        <v>0.59199999999999997</v>
      </c>
      <c r="N10" s="34">
        <v>1.4663212563251105</v>
      </c>
      <c r="O10" s="37">
        <f t="shared" si="1"/>
        <v>0.68032999999999988</v>
      </c>
      <c r="P10" s="37">
        <f t="shared" si="2"/>
        <v>0.15565950400000014</v>
      </c>
      <c r="Q10" s="37">
        <f t="shared" si="3"/>
        <v>0.83598950400000005</v>
      </c>
      <c r="R10" s="40"/>
      <c r="S10" s="40"/>
      <c r="T10" s="40"/>
      <c r="U10" s="41"/>
    </row>
    <row r="11" spans="1:21">
      <c r="A11">
        <f>Entry!B12</f>
        <v>80</v>
      </c>
      <c r="B11" s="1" t="s">
        <v>18</v>
      </c>
      <c r="C11" s="19">
        <f>Entry!C12</f>
        <v>42399.520833333336</v>
      </c>
      <c r="D11" s="43">
        <f>Entry!D12</f>
        <v>1.0541666666686069</v>
      </c>
      <c r="E11" s="1">
        <v>100</v>
      </c>
      <c r="F11" s="1">
        <v>10</v>
      </c>
      <c r="G11" s="36">
        <f>Entry!H12</f>
        <v>8.81</v>
      </c>
      <c r="H11" s="36">
        <f>Entry!I12</f>
        <v>5.13</v>
      </c>
      <c r="I11" s="12">
        <v>1</v>
      </c>
      <c r="J11" s="32">
        <v>1.9438</v>
      </c>
      <c r="K11" s="37">
        <f t="shared" si="4"/>
        <v>0.88100000000000012</v>
      </c>
      <c r="L11" s="37">
        <f t="shared" si="0"/>
        <v>1.7173489278752438</v>
      </c>
      <c r="M11" s="34"/>
      <c r="N11" s="34"/>
      <c r="O11" s="37">
        <f t="shared" si="1"/>
        <v>0.71531840000000013</v>
      </c>
      <c r="P11" s="37">
        <f t="shared" si="2"/>
        <v>0.12230389599999983</v>
      </c>
      <c r="Q11" s="37">
        <f t="shared" si="3"/>
        <v>0.83762229599999993</v>
      </c>
      <c r="R11" s="40"/>
      <c r="S11" s="40"/>
      <c r="T11" s="40"/>
      <c r="U11" s="41"/>
    </row>
    <row r="12" spans="1:21">
      <c r="A12">
        <f>Entry!B13</f>
        <v>81</v>
      </c>
      <c r="B12" s="1" t="s">
        <v>18</v>
      </c>
      <c r="C12" s="19">
        <f>Entry!C13</f>
        <v>42399.520833333336</v>
      </c>
      <c r="D12" s="43">
        <f>Entry!D13</f>
        <v>1.0541666666686069</v>
      </c>
      <c r="E12" s="1">
        <v>100</v>
      </c>
      <c r="F12" s="1">
        <v>10</v>
      </c>
      <c r="G12" s="36">
        <f>Entry!H13</f>
        <v>8.75</v>
      </c>
      <c r="H12" s="36">
        <f>Entry!I13</f>
        <v>5.17</v>
      </c>
      <c r="I12" s="12">
        <v>1</v>
      </c>
      <c r="J12" s="32">
        <v>1.9438</v>
      </c>
      <c r="K12" s="37">
        <f t="shared" si="4"/>
        <v>0.875</v>
      </c>
      <c r="L12" s="37">
        <f t="shared" si="0"/>
        <v>1.6924564796905224</v>
      </c>
      <c r="M12" s="34"/>
      <c r="N12" s="34"/>
      <c r="O12" s="37">
        <f t="shared" si="1"/>
        <v>0.69588040000000007</v>
      </c>
      <c r="P12" s="37">
        <f t="shared" si="2"/>
        <v>0.14827306400000007</v>
      </c>
      <c r="Q12" s="37">
        <f t="shared" si="3"/>
        <v>0.84415346400000013</v>
      </c>
      <c r="R12" s="40"/>
      <c r="S12" s="40"/>
      <c r="T12" s="40"/>
      <c r="U12" s="41"/>
    </row>
    <row r="13" spans="1:21">
      <c r="A13">
        <f>Entry!B14</f>
        <v>82</v>
      </c>
      <c r="B13" s="2" t="s">
        <v>18</v>
      </c>
      <c r="C13" s="19">
        <f>Entry!C14</f>
        <v>42399.520833333336</v>
      </c>
      <c r="D13" s="43">
        <f>Entry!D14</f>
        <v>1.0541666666686069</v>
      </c>
      <c r="E13" s="35">
        <v>100</v>
      </c>
      <c r="F13" s="35">
        <v>10</v>
      </c>
      <c r="G13" s="36">
        <f>Entry!H14</f>
        <v>5.01</v>
      </c>
      <c r="H13" s="36">
        <f>Entry!I14</f>
        <v>2.92</v>
      </c>
      <c r="I13" s="35">
        <v>1</v>
      </c>
      <c r="J13" s="33">
        <v>1.9438</v>
      </c>
      <c r="K13" s="37">
        <f t="shared" si="4"/>
        <v>0.501</v>
      </c>
      <c r="L13" s="37">
        <f t="shared" si="0"/>
        <v>1.7157534246575341</v>
      </c>
      <c r="M13" s="34">
        <f>AVERAGE(K11:K13)</f>
        <v>0.75233333333333341</v>
      </c>
      <c r="N13" s="34">
        <f>AVERAGE(M11:M13)</f>
        <v>0.75233333333333341</v>
      </c>
      <c r="O13" s="37">
        <f t="shared" si="1"/>
        <v>0.40625420000000001</v>
      </c>
      <c r="P13" s="37">
        <f t="shared" si="2"/>
        <v>7.0521064000000008E-2</v>
      </c>
      <c r="Q13" s="37">
        <f t="shared" si="3"/>
        <v>0.47677526400000003</v>
      </c>
      <c r="R13" s="34"/>
      <c r="S13" s="34"/>
      <c r="T13" s="34"/>
      <c r="U13" s="34"/>
    </row>
    <row r="14" spans="1:21">
      <c r="A14">
        <f>Entry!B15</f>
        <v>83</v>
      </c>
      <c r="B14" s="2" t="s">
        <v>18</v>
      </c>
      <c r="C14" s="19">
        <f>Entry!C15</f>
        <v>42399.520833333336</v>
      </c>
      <c r="D14" s="43">
        <f>Entry!D15</f>
        <v>1.0541666666686069</v>
      </c>
      <c r="E14" s="35">
        <v>100</v>
      </c>
      <c r="F14" s="35">
        <v>10</v>
      </c>
      <c r="G14" s="36">
        <f>Entry!H15</f>
        <v>12</v>
      </c>
      <c r="H14" s="36">
        <f>Entry!I15</f>
        <v>7.02</v>
      </c>
      <c r="I14" s="35">
        <v>1</v>
      </c>
      <c r="J14" s="33">
        <v>1.9438</v>
      </c>
      <c r="K14" s="37">
        <f t="shared" si="4"/>
        <v>1.2000000000000002</v>
      </c>
      <c r="L14" s="37">
        <f t="shared" si="0"/>
        <v>1.7094017094017095</v>
      </c>
      <c r="M14" s="34"/>
      <c r="N14" s="34"/>
      <c r="O14" s="37">
        <f t="shared" si="1"/>
        <v>0.96801240000000011</v>
      </c>
      <c r="P14" s="37">
        <f t="shared" si="2"/>
        <v>0.17820758400000006</v>
      </c>
      <c r="Q14" s="37">
        <f t="shared" si="3"/>
        <v>1.1462199840000002</v>
      </c>
      <c r="R14" s="34"/>
      <c r="S14" s="34"/>
      <c r="T14" s="34"/>
      <c r="U14" s="34"/>
    </row>
    <row r="15" spans="1:21" ht="12.95" customHeight="1">
      <c r="A15">
        <f>Entry!B16</f>
        <v>84</v>
      </c>
      <c r="B15" s="2" t="s">
        <v>18</v>
      </c>
      <c r="C15" s="19">
        <f>Entry!C16</f>
        <v>42399.520833333336</v>
      </c>
      <c r="D15" s="43">
        <f>Entry!D16</f>
        <v>1.0541666666686069</v>
      </c>
      <c r="E15" s="35">
        <v>100</v>
      </c>
      <c r="F15" s="35">
        <v>10</v>
      </c>
      <c r="G15" s="36">
        <f>Entry!H16</f>
        <v>7.32</v>
      </c>
      <c r="H15" s="36">
        <f>Entry!I16</f>
        <v>4.29</v>
      </c>
      <c r="I15" s="35">
        <v>1</v>
      </c>
      <c r="J15" s="33">
        <v>1.9438</v>
      </c>
      <c r="K15" s="37">
        <f t="shared" si="4"/>
        <v>0.7320000000000001</v>
      </c>
      <c r="L15" s="37">
        <f t="shared" si="0"/>
        <v>1.7062937062937062</v>
      </c>
      <c r="M15" s="34"/>
      <c r="N15" s="34"/>
      <c r="O15" s="37">
        <f t="shared" si="1"/>
        <v>0.58897140000000003</v>
      </c>
      <c r="P15" s="37">
        <f t="shared" si="2"/>
        <v>0.11149636799999998</v>
      </c>
      <c r="Q15" s="37">
        <f t="shared" si="3"/>
        <v>0.70046776799999999</v>
      </c>
      <c r="R15" s="34"/>
      <c r="S15" s="34"/>
      <c r="T15" s="34"/>
      <c r="U15" s="34"/>
    </row>
    <row r="16" spans="1:21">
      <c r="A16">
        <f>Entry!B17</f>
        <v>85</v>
      </c>
      <c r="B16" s="2" t="s">
        <v>18</v>
      </c>
      <c r="C16" s="19">
        <f>Entry!C17</f>
        <v>42399.520833333336</v>
      </c>
      <c r="D16" s="43">
        <f>Entry!D17</f>
        <v>1.0541666666686069</v>
      </c>
      <c r="E16" s="35">
        <v>100</v>
      </c>
      <c r="F16" s="35">
        <v>10</v>
      </c>
      <c r="G16" s="36">
        <f>Entry!H17</f>
        <v>7.03</v>
      </c>
      <c r="H16" s="36">
        <f>Entry!I17</f>
        <v>4.12</v>
      </c>
      <c r="I16" s="35">
        <v>1</v>
      </c>
      <c r="J16" s="33">
        <v>1.9438</v>
      </c>
      <c r="K16" s="37">
        <f t="shared" si="4"/>
        <v>0.70300000000000007</v>
      </c>
      <c r="L16" s="37">
        <f t="shared" si="0"/>
        <v>1.7063106796116505</v>
      </c>
      <c r="M16" s="34">
        <f>AVERAGE(K14:K16)</f>
        <v>0.87833333333333352</v>
      </c>
      <c r="N16" s="34">
        <f>AVERAGE(M14:M16)</f>
        <v>0.87833333333333352</v>
      </c>
      <c r="O16" s="37">
        <f t="shared" si="1"/>
        <v>0.56564579999999998</v>
      </c>
      <c r="P16" s="37">
        <f t="shared" si="2"/>
        <v>0.10706450400000012</v>
      </c>
      <c r="Q16" s="37">
        <f t="shared" si="3"/>
        <v>0.67271030400000009</v>
      </c>
      <c r="R16" s="34"/>
      <c r="S16" s="34"/>
      <c r="T16" s="34"/>
      <c r="U16" s="34"/>
    </row>
    <row r="17" spans="1:21">
      <c r="A17">
        <f>Entry!B18</f>
        <v>86</v>
      </c>
      <c r="B17" s="2" t="s">
        <v>18</v>
      </c>
      <c r="C17" s="19">
        <f>Entry!C18</f>
        <v>42399.520833333336</v>
      </c>
      <c r="D17" s="43">
        <f>Entry!D18</f>
        <v>1.0541666666686069</v>
      </c>
      <c r="E17" s="35">
        <v>100</v>
      </c>
      <c r="F17" s="35">
        <v>10</v>
      </c>
      <c r="G17" s="36">
        <f>Entry!H18</f>
        <v>7.66</v>
      </c>
      <c r="H17" s="36">
        <f>Entry!I18</f>
        <v>4.49</v>
      </c>
      <c r="I17" s="35">
        <v>1</v>
      </c>
      <c r="J17" s="33">
        <v>1.9438</v>
      </c>
      <c r="K17" s="37">
        <f t="shared" si="4"/>
        <v>0.76600000000000001</v>
      </c>
      <c r="L17" s="37">
        <f t="shared" si="0"/>
        <v>1.7060133630289531</v>
      </c>
      <c r="M17" s="34"/>
      <c r="N17" s="34"/>
      <c r="O17" s="37">
        <f t="shared" si="1"/>
        <v>0.61618459999999997</v>
      </c>
      <c r="P17" s="37">
        <f t="shared" si="2"/>
        <v>0.11693900800000023</v>
      </c>
      <c r="Q17" s="37">
        <f t="shared" si="3"/>
        <v>0.7331236080000002</v>
      </c>
      <c r="R17" s="34"/>
      <c r="S17" s="34"/>
      <c r="T17" s="34"/>
      <c r="U17" s="34"/>
    </row>
    <row r="18" spans="1:21">
      <c r="A18">
        <f>Entry!B19</f>
        <v>87</v>
      </c>
      <c r="B18" s="2" t="s">
        <v>18</v>
      </c>
      <c r="C18" s="19">
        <f>Entry!C19</f>
        <v>42399.520833333336</v>
      </c>
      <c r="D18" s="43">
        <f>Entry!D19</f>
        <v>1.0541666666686069</v>
      </c>
      <c r="E18" s="35">
        <v>100</v>
      </c>
      <c r="F18" s="35">
        <v>10</v>
      </c>
      <c r="G18" s="36">
        <f>Entry!H19</f>
        <v>3.71</v>
      </c>
      <c r="H18" s="36">
        <f>Entry!I19</f>
        <v>2.2599999999999998</v>
      </c>
      <c r="I18" s="35">
        <v>1</v>
      </c>
      <c r="J18" s="33">
        <v>1.9438</v>
      </c>
      <c r="K18" s="37">
        <f t="shared" si="4"/>
        <v>0.371</v>
      </c>
      <c r="L18" s="37">
        <f t="shared" si="0"/>
        <v>1.6415929203539825</v>
      </c>
      <c r="M18" s="34"/>
      <c r="N18" s="34"/>
      <c r="O18" s="37">
        <f t="shared" si="1"/>
        <v>0.28185100000000002</v>
      </c>
      <c r="P18" s="37">
        <f t="shared" si="2"/>
        <v>8.7159991999999908E-2</v>
      </c>
      <c r="Q18" s="37">
        <f t="shared" si="3"/>
        <v>0.36901099199999993</v>
      </c>
      <c r="R18" s="34"/>
      <c r="S18" s="34"/>
      <c r="T18" s="34"/>
      <c r="U18" s="34"/>
    </row>
    <row r="19" spans="1:21">
      <c r="A19">
        <f>Entry!B20</f>
        <v>88</v>
      </c>
      <c r="B19" s="2" t="s">
        <v>18</v>
      </c>
      <c r="C19" s="19">
        <f>Entry!C20</f>
        <v>42399.520833333336</v>
      </c>
      <c r="D19" s="43">
        <f>Entry!D20</f>
        <v>1.0541666666686069</v>
      </c>
      <c r="E19" s="35">
        <v>100</v>
      </c>
      <c r="F19" s="35">
        <v>10</v>
      </c>
      <c r="G19" s="36">
        <f>Entry!H20</f>
        <v>6.88</v>
      </c>
      <c r="H19" s="36">
        <f>Entry!I20</f>
        <v>4</v>
      </c>
      <c r="I19" s="35">
        <v>1</v>
      </c>
      <c r="J19" s="33">
        <v>1.9438</v>
      </c>
      <c r="K19" s="37">
        <f t="shared" si="4"/>
        <v>0.68800000000000006</v>
      </c>
      <c r="L19" s="37">
        <f t="shared" si="0"/>
        <v>1.72</v>
      </c>
      <c r="M19" s="34">
        <f>AVERAGE(K17:K19)</f>
        <v>0.60833333333333339</v>
      </c>
      <c r="N19" s="34">
        <f>AVERAGE(M17:M19)</f>
        <v>0.60833333333333339</v>
      </c>
      <c r="O19" s="37">
        <f t="shared" si="1"/>
        <v>0.55981439999999993</v>
      </c>
      <c r="P19" s="37">
        <f t="shared" si="2"/>
        <v>9.3302400000000091E-2</v>
      </c>
      <c r="Q19" s="37">
        <f t="shared" si="3"/>
        <v>0.65311680000000005</v>
      </c>
      <c r="R19" s="34"/>
      <c r="S19" s="34"/>
      <c r="T19" s="34"/>
      <c r="U19" s="34"/>
    </row>
    <row r="20" spans="1:21">
      <c r="A20">
        <f>Entry!B21</f>
        <v>89</v>
      </c>
      <c r="B20" s="2" t="s">
        <v>18</v>
      </c>
      <c r="C20" s="19">
        <f>Entry!C21</f>
        <v>42399.520833333336</v>
      </c>
      <c r="D20" s="43">
        <f>Entry!D21</f>
        <v>1.0541666666686069</v>
      </c>
      <c r="E20" s="35">
        <v>100</v>
      </c>
      <c r="F20" s="35">
        <v>10</v>
      </c>
      <c r="G20" s="36">
        <f>Entry!H21</f>
        <v>7.13</v>
      </c>
      <c r="H20" s="36">
        <f>Entry!I21</f>
        <v>4.25</v>
      </c>
      <c r="I20" s="35">
        <v>1</v>
      </c>
      <c r="J20" s="33">
        <v>1.9438</v>
      </c>
      <c r="K20" s="37">
        <f t="shared" si="4"/>
        <v>0.71300000000000008</v>
      </c>
      <c r="L20" s="37">
        <f t="shared" si="0"/>
        <v>1.6776470588235295</v>
      </c>
      <c r="M20" s="34"/>
      <c r="N20" s="34"/>
      <c r="O20" s="37">
        <f t="shared" si="1"/>
        <v>0.55981439999999993</v>
      </c>
      <c r="P20" s="37">
        <f t="shared" si="2"/>
        <v>0.13412220000000008</v>
      </c>
      <c r="Q20" s="37">
        <f t="shared" si="3"/>
        <v>0.69393660000000001</v>
      </c>
      <c r="R20" s="34"/>
      <c r="S20" s="34"/>
      <c r="T20" s="34"/>
      <c r="U20" s="34"/>
    </row>
    <row r="21" spans="1:21">
      <c r="A21">
        <f>Entry!B22</f>
        <v>90</v>
      </c>
      <c r="B21" s="2" t="s">
        <v>18</v>
      </c>
      <c r="C21" s="19">
        <f>Entry!C22</f>
        <v>42399.520833333336</v>
      </c>
      <c r="D21" s="43">
        <f>Entry!D22</f>
        <v>1.0541666666686069</v>
      </c>
      <c r="E21" s="35">
        <v>100</v>
      </c>
      <c r="F21" s="35">
        <v>10</v>
      </c>
      <c r="G21" s="36">
        <f>Entry!H22</f>
        <v>7.46</v>
      </c>
      <c r="H21" s="36">
        <f>Entry!I22</f>
        <v>4.4400000000000004</v>
      </c>
      <c r="I21" s="35">
        <v>1</v>
      </c>
      <c r="J21" s="33">
        <v>1.9438</v>
      </c>
      <c r="K21" s="37">
        <f t="shared" si="4"/>
        <v>0.746</v>
      </c>
      <c r="L21" s="37">
        <f t="shared" si="0"/>
        <v>1.6801801801801801</v>
      </c>
      <c r="M21" s="34"/>
      <c r="N21" s="34"/>
      <c r="O21" s="37">
        <f t="shared" si="1"/>
        <v>0.58702759999999987</v>
      </c>
      <c r="P21" s="37">
        <f t="shared" si="2"/>
        <v>0.13793204800000017</v>
      </c>
      <c r="Q21" s="37">
        <f t="shared" si="3"/>
        <v>0.72495964800000001</v>
      </c>
      <c r="R21" s="34"/>
      <c r="S21" s="34"/>
      <c r="T21" s="34"/>
      <c r="U21" s="34"/>
    </row>
    <row r="22" spans="1:21">
      <c r="A22">
        <f>Entry!B23</f>
        <v>91</v>
      </c>
      <c r="B22" s="2" t="s">
        <v>18</v>
      </c>
      <c r="C22" s="19">
        <f>Entry!C23</f>
        <v>42399.520833333336</v>
      </c>
      <c r="D22" s="43">
        <f>Entry!D23</f>
        <v>1.0541666666686069</v>
      </c>
      <c r="E22" s="35">
        <v>100</v>
      </c>
      <c r="F22" s="35">
        <v>10</v>
      </c>
      <c r="G22" s="36">
        <f>Entry!H23</f>
        <v>7.06</v>
      </c>
      <c r="H22" s="36">
        <f>Entry!I23</f>
        <v>4.12</v>
      </c>
      <c r="I22" s="35">
        <v>1</v>
      </c>
      <c r="J22" s="33">
        <v>1.9438</v>
      </c>
      <c r="K22" s="37">
        <f t="shared" si="4"/>
        <v>0.70599999999999996</v>
      </c>
      <c r="L22" s="37">
        <f t="shared" si="0"/>
        <v>1.7135922330097086</v>
      </c>
      <c r="M22" s="34">
        <f>AVERAGE(K20:K22)</f>
        <v>0.72166666666666668</v>
      </c>
      <c r="N22" s="34">
        <f>AVERAGE(M20:M22)</f>
        <v>0.72166666666666668</v>
      </c>
      <c r="O22" s="37">
        <f t="shared" si="1"/>
        <v>0.57147719999999991</v>
      </c>
      <c r="P22" s="37">
        <f t="shared" si="2"/>
        <v>0.10123310400000025</v>
      </c>
      <c r="Q22" s="37">
        <f t="shared" si="3"/>
        <v>0.6727103040000002</v>
      </c>
      <c r="R22" s="34"/>
      <c r="S22" s="34"/>
      <c r="T22" s="34"/>
      <c r="U22" s="34"/>
    </row>
    <row r="23" spans="1:21">
      <c r="A23">
        <f>Entry!B24</f>
        <v>92</v>
      </c>
      <c r="B23" s="2" t="s">
        <v>18</v>
      </c>
      <c r="C23" s="19">
        <f>Entry!C24</f>
        <v>42399.520833333336</v>
      </c>
      <c r="D23" s="43">
        <f>Entry!D24</f>
        <v>1.0541666666686069</v>
      </c>
      <c r="E23" s="35">
        <v>100</v>
      </c>
      <c r="F23" s="35">
        <v>10</v>
      </c>
      <c r="G23" s="36">
        <f>Entry!H24</f>
        <v>7.13</v>
      </c>
      <c r="H23" s="36">
        <f>Entry!I24</f>
        <v>4.1399999999999997</v>
      </c>
      <c r="I23" s="35">
        <v>1</v>
      </c>
      <c r="J23" s="33">
        <v>1.9438</v>
      </c>
      <c r="K23" s="37">
        <f t="shared" si="4"/>
        <v>0.71300000000000008</v>
      </c>
      <c r="L23" s="37">
        <f t="shared" si="0"/>
        <v>1.7222222222222223</v>
      </c>
      <c r="M23" s="34"/>
      <c r="N23" s="34"/>
      <c r="O23" s="37">
        <f t="shared" si="1"/>
        <v>0.58119620000000005</v>
      </c>
      <c r="P23" s="37">
        <f t="shared" si="2"/>
        <v>9.4779687999999918E-2</v>
      </c>
      <c r="Q23" s="37">
        <f t="shared" si="3"/>
        <v>0.67597588799999997</v>
      </c>
      <c r="R23" s="34"/>
      <c r="S23" s="34"/>
      <c r="T23" s="34"/>
      <c r="U23" s="34"/>
    </row>
    <row r="24" spans="1:21" ht="12.95" customHeight="1">
      <c r="A24">
        <f>Entry!B25</f>
        <v>93</v>
      </c>
      <c r="B24" s="2" t="s">
        <v>18</v>
      </c>
      <c r="C24" s="19">
        <f>Entry!C25</f>
        <v>42399.520833333336</v>
      </c>
      <c r="D24" s="43">
        <f>Entry!D25</f>
        <v>1.0541666666686069</v>
      </c>
      <c r="E24" s="35">
        <v>100</v>
      </c>
      <c r="F24" s="35">
        <v>10</v>
      </c>
      <c r="G24" s="36">
        <f>Entry!H25</f>
        <v>6.36</v>
      </c>
      <c r="H24" s="36">
        <f>Entry!I25</f>
        <v>3.73</v>
      </c>
      <c r="I24" s="35">
        <v>1</v>
      </c>
      <c r="J24" s="33">
        <v>1.9438</v>
      </c>
      <c r="K24" s="37">
        <f t="shared" si="4"/>
        <v>0.63600000000000012</v>
      </c>
      <c r="L24" s="37">
        <f t="shared" si="0"/>
        <v>1.7050938337801609</v>
      </c>
      <c r="M24" s="34"/>
      <c r="N24" s="34"/>
      <c r="O24" s="37">
        <f t="shared" si="1"/>
        <v>0.5112194000000001</v>
      </c>
      <c r="P24" s="37">
        <f t="shared" si="2"/>
        <v>9.7812015999999946E-2</v>
      </c>
      <c r="Q24" s="37">
        <f t="shared" si="3"/>
        <v>0.6090314160000001</v>
      </c>
      <c r="R24" s="34"/>
      <c r="S24" s="34"/>
      <c r="T24" s="34"/>
      <c r="U24" s="34"/>
    </row>
    <row r="25" spans="1:21">
      <c r="A25">
        <f>Entry!B26</f>
        <v>94</v>
      </c>
      <c r="B25" s="2" t="s">
        <v>18</v>
      </c>
      <c r="C25" s="19">
        <f>Entry!C26</f>
        <v>42399.520833333336</v>
      </c>
      <c r="D25" s="43">
        <f>Entry!D26</f>
        <v>1.0541666666686069</v>
      </c>
      <c r="E25" s="35">
        <v>100</v>
      </c>
      <c r="F25" s="35">
        <v>10</v>
      </c>
      <c r="G25" s="36">
        <f>Entry!H26</f>
        <v>6.78</v>
      </c>
      <c r="H25" s="36">
        <f>Entry!I26</f>
        <v>4.05</v>
      </c>
      <c r="I25" s="35">
        <v>1</v>
      </c>
      <c r="J25" s="33">
        <v>1.9438</v>
      </c>
      <c r="K25" s="37">
        <f t="shared" si="4"/>
        <v>0.67800000000000005</v>
      </c>
      <c r="L25" s="37">
        <f t="shared" si="0"/>
        <v>1.6740740740740743</v>
      </c>
      <c r="M25" s="34">
        <f>AVERAGE(K23:K25)</f>
        <v>0.67566666666666675</v>
      </c>
      <c r="N25" s="34">
        <f>AVERAGE(M23:M25)</f>
        <v>0.67566666666666675</v>
      </c>
      <c r="O25" s="37">
        <f t="shared" si="1"/>
        <v>0.53065740000000006</v>
      </c>
      <c r="P25" s="37">
        <f t="shared" si="2"/>
        <v>0.13062335999999994</v>
      </c>
      <c r="Q25" s="37">
        <f t="shared" si="3"/>
        <v>0.66128076000000002</v>
      </c>
      <c r="R25" s="34"/>
      <c r="S25" s="34"/>
      <c r="T25" s="34"/>
      <c r="U25" s="34"/>
    </row>
    <row r="26" spans="1:21">
      <c r="A26">
        <f>Entry!B27</f>
        <v>110</v>
      </c>
      <c r="B26" s="2" t="s">
        <v>18</v>
      </c>
      <c r="C26" s="19">
        <f>Entry!C27</f>
        <v>42400.53125</v>
      </c>
      <c r="D26" s="43">
        <f>Entry!D27</f>
        <v>2.0645833333328483</v>
      </c>
      <c r="E26" s="2">
        <v>100</v>
      </c>
      <c r="F26" s="35">
        <v>10</v>
      </c>
      <c r="G26" s="36">
        <f>Entry!H27</f>
        <v>7.04</v>
      </c>
      <c r="H26" s="36">
        <f>Entry!I27</f>
        <v>4.12</v>
      </c>
      <c r="I26" s="2">
        <v>1</v>
      </c>
      <c r="J26" s="2">
        <v>1.9438</v>
      </c>
      <c r="K26" s="37">
        <f t="shared" si="4"/>
        <v>0.70400000000000007</v>
      </c>
      <c r="L26" s="37">
        <f t="shared" si="0"/>
        <v>1.7087378640776698</v>
      </c>
      <c r="M26" s="34"/>
      <c r="N26" s="34"/>
      <c r="O26" s="37">
        <f t="shared" si="1"/>
        <v>0.56758960000000003</v>
      </c>
      <c r="P26" s="37">
        <f t="shared" si="2"/>
        <v>0.10512070400000016</v>
      </c>
      <c r="Q26" s="37">
        <f t="shared" si="3"/>
        <v>0.6727103040000002</v>
      </c>
      <c r="R26" s="41"/>
      <c r="S26" s="41"/>
      <c r="T26" s="41"/>
      <c r="U26" s="41"/>
    </row>
    <row r="27" spans="1:21">
      <c r="A27">
        <f>Entry!B28</f>
        <v>111</v>
      </c>
      <c r="B27" s="2" t="s">
        <v>18</v>
      </c>
      <c r="C27" s="19">
        <f>Entry!C28</f>
        <v>42400.53125</v>
      </c>
      <c r="D27" s="43">
        <f>Entry!D28</f>
        <v>2.0645833333328483</v>
      </c>
      <c r="E27" s="2">
        <v>100</v>
      </c>
      <c r="F27" s="35">
        <v>10</v>
      </c>
      <c r="G27" s="36">
        <f>Entry!H28</f>
        <v>6.01</v>
      </c>
      <c r="H27" s="36">
        <f>Entry!I28</f>
        <v>3.6</v>
      </c>
      <c r="I27" s="2">
        <v>1</v>
      </c>
      <c r="J27" s="2">
        <v>1.9438</v>
      </c>
      <c r="K27" s="37">
        <f t="shared" si="4"/>
        <v>0.60099999999999998</v>
      </c>
      <c r="L27" s="37">
        <f t="shared" si="0"/>
        <v>1.6694444444444443</v>
      </c>
      <c r="M27" s="34"/>
      <c r="N27" s="34"/>
      <c r="O27" s="37">
        <f t="shared" si="1"/>
        <v>0.46845579999999992</v>
      </c>
      <c r="P27" s="37">
        <f t="shared" si="2"/>
        <v>0.11934932000000015</v>
      </c>
      <c r="Q27" s="37">
        <f t="shared" si="3"/>
        <v>0.58780512000000007</v>
      </c>
      <c r="R27" s="41"/>
      <c r="S27" s="41"/>
      <c r="T27" s="41"/>
      <c r="U27" s="41"/>
    </row>
    <row r="28" spans="1:21">
      <c r="A28">
        <f>Entry!B29</f>
        <v>112</v>
      </c>
      <c r="B28" s="2" t="s">
        <v>18</v>
      </c>
      <c r="C28" s="19">
        <f>Entry!C29</f>
        <v>42400.53125</v>
      </c>
      <c r="D28" s="43">
        <f>Entry!D29</f>
        <v>2.0645833333328483</v>
      </c>
      <c r="E28" s="2">
        <v>100</v>
      </c>
      <c r="F28" s="35">
        <v>10</v>
      </c>
      <c r="G28" s="36">
        <f>Entry!H29</f>
        <v>7.94</v>
      </c>
      <c r="H28" s="36">
        <f>Entry!I29</f>
        <v>4.6500000000000004</v>
      </c>
      <c r="I28" s="2">
        <v>1</v>
      </c>
      <c r="J28" s="2">
        <v>1.9438</v>
      </c>
      <c r="K28" s="37">
        <f t="shared" si="4"/>
        <v>0.79400000000000004</v>
      </c>
      <c r="L28" s="37">
        <f t="shared" si="0"/>
        <v>1.7075268817204301</v>
      </c>
      <c r="M28" s="34">
        <f>AVERAGE(K26:K28)</f>
        <v>0.69966666666666677</v>
      </c>
      <c r="N28" s="34">
        <f>AVERAGE(M26:M28)</f>
        <v>0.69966666666666677</v>
      </c>
      <c r="O28" s="37">
        <f t="shared" si="1"/>
        <v>0.63951020000000003</v>
      </c>
      <c r="P28" s="37">
        <f t="shared" si="2"/>
        <v>0.11973808000000011</v>
      </c>
      <c r="Q28" s="37">
        <f t="shared" si="3"/>
        <v>0.75924828000000011</v>
      </c>
      <c r="R28" s="41"/>
      <c r="S28" s="41"/>
      <c r="T28" s="41"/>
      <c r="U28" s="41"/>
    </row>
    <row r="29" spans="1:21">
      <c r="A29">
        <f>Entry!B30</f>
        <v>113</v>
      </c>
      <c r="B29" s="2" t="s">
        <v>18</v>
      </c>
      <c r="C29" s="19">
        <f>Entry!C30</f>
        <v>42400.552083333336</v>
      </c>
      <c r="D29" s="43">
        <f>Entry!D30</f>
        <v>2.0854166666686069</v>
      </c>
      <c r="E29" s="2">
        <v>100</v>
      </c>
      <c r="F29" s="35">
        <v>10</v>
      </c>
      <c r="G29" s="36">
        <f>Entry!H30</f>
        <v>8.48</v>
      </c>
      <c r="H29" s="36">
        <f>Entry!I30</f>
        <v>4.9000000000000004</v>
      </c>
      <c r="I29" s="2">
        <v>1</v>
      </c>
      <c r="J29" s="2">
        <v>1.9438</v>
      </c>
      <c r="K29" s="37">
        <f t="shared" si="4"/>
        <v>0.84800000000000009</v>
      </c>
      <c r="L29" s="37">
        <f t="shared" si="0"/>
        <v>1.7306122448979591</v>
      </c>
      <c r="M29" s="34"/>
      <c r="N29" s="34"/>
      <c r="O29" s="37">
        <f t="shared" si="1"/>
        <v>0.69588040000000007</v>
      </c>
      <c r="P29" s="37">
        <f t="shared" si="2"/>
        <v>0.10418768000000028</v>
      </c>
      <c r="Q29" s="37">
        <f t="shared" si="3"/>
        <v>0.8000680800000004</v>
      </c>
      <c r="R29" s="41"/>
      <c r="S29" s="41"/>
      <c r="T29" s="41"/>
      <c r="U29" s="41"/>
    </row>
    <row r="30" spans="1:21">
      <c r="A30">
        <f>Entry!B31</f>
        <v>114</v>
      </c>
      <c r="B30" s="2" t="s">
        <v>18</v>
      </c>
      <c r="C30" s="19">
        <f>Entry!C31</f>
        <v>42400.552083333336</v>
      </c>
      <c r="D30" s="43">
        <f>Entry!D31</f>
        <v>2.0854166666686069</v>
      </c>
      <c r="E30" s="2">
        <v>100</v>
      </c>
      <c r="F30" s="35">
        <v>10</v>
      </c>
      <c r="G30" s="36">
        <f>Entry!H31</f>
        <v>8.84</v>
      </c>
      <c r="H30" s="36">
        <f>Entry!I31</f>
        <v>5.0999999999999996</v>
      </c>
      <c r="I30" s="2">
        <v>1</v>
      </c>
      <c r="J30" s="2">
        <v>1.9438</v>
      </c>
      <c r="K30" s="37">
        <f t="shared" si="4"/>
        <v>0.88400000000000001</v>
      </c>
      <c r="L30" s="37">
        <f t="shared" si="0"/>
        <v>1.7333333333333334</v>
      </c>
      <c r="M30" s="34"/>
      <c r="N30" s="34"/>
      <c r="O30" s="37">
        <f t="shared" si="1"/>
        <v>0.72698119999999999</v>
      </c>
      <c r="P30" s="37">
        <f t="shared" si="2"/>
        <v>0.1057427200000001</v>
      </c>
      <c r="Q30" s="37">
        <f t="shared" si="3"/>
        <v>0.83272392000000006</v>
      </c>
      <c r="R30" s="41"/>
      <c r="S30" s="41"/>
      <c r="T30" s="41"/>
      <c r="U30" s="41"/>
    </row>
    <row r="31" spans="1:21">
      <c r="A31">
        <f>Entry!B32</f>
        <v>115</v>
      </c>
      <c r="B31" s="2" t="s">
        <v>18</v>
      </c>
      <c r="C31" s="19">
        <f>Entry!C32</f>
        <v>42400.552083333336</v>
      </c>
      <c r="D31" s="43">
        <f>Entry!D32</f>
        <v>2.0854166666686069</v>
      </c>
      <c r="E31" s="2">
        <v>100</v>
      </c>
      <c r="F31" s="35">
        <v>10</v>
      </c>
      <c r="G31" s="36">
        <f>Entry!H32</f>
        <v>9.41</v>
      </c>
      <c r="H31" s="36">
        <f>Entry!I32</f>
        <v>5.46</v>
      </c>
      <c r="I31" s="2">
        <v>1</v>
      </c>
      <c r="J31" s="2">
        <v>1.9438</v>
      </c>
      <c r="K31" s="37">
        <f t="shared" si="4"/>
        <v>0.94100000000000006</v>
      </c>
      <c r="L31" s="37">
        <f t="shared" si="0"/>
        <v>1.7234432234432235</v>
      </c>
      <c r="M31" s="34">
        <f>AVERAGE(K29:K31)</f>
        <v>0.89100000000000001</v>
      </c>
      <c r="N31" s="34">
        <f>AVERAGE(M29:M31)</f>
        <v>0.89100000000000001</v>
      </c>
      <c r="O31" s="37">
        <f t="shared" si="1"/>
        <v>0.76780100000000007</v>
      </c>
      <c r="P31" s="37">
        <f t="shared" si="2"/>
        <v>0.12370343200000003</v>
      </c>
      <c r="Q31" s="37">
        <f t="shared" si="3"/>
        <v>0.89150443200000007</v>
      </c>
      <c r="R31" s="41"/>
      <c r="S31" s="41"/>
      <c r="T31" s="41"/>
      <c r="U31" s="41"/>
    </row>
    <row r="32" spans="1:21">
      <c r="A32">
        <f>Entry!B33</f>
        <v>116</v>
      </c>
      <c r="B32" s="2" t="s">
        <v>18</v>
      </c>
      <c r="C32" s="19">
        <f>Entry!C33</f>
        <v>42400.572916666664</v>
      </c>
      <c r="D32" s="43">
        <f>Entry!D33</f>
        <v>2.1062499999970896</v>
      </c>
      <c r="E32" s="2">
        <v>100</v>
      </c>
      <c r="F32" s="35">
        <v>10</v>
      </c>
      <c r="G32" s="36">
        <f>Entry!H33</f>
        <v>8.42</v>
      </c>
      <c r="H32" s="36">
        <f>Entry!I33</f>
        <v>4.8099999999999996</v>
      </c>
      <c r="I32" s="2">
        <v>1</v>
      </c>
      <c r="J32" s="2">
        <v>1.9438</v>
      </c>
      <c r="K32" s="37">
        <f t="shared" si="4"/>
        <v>0.84200000000000008</v>
      </c>
      <c r="L32" s="37">
        <f t="shared" si="0"/>
        <v>1.7505197505197507</v>
      </c>
      <c r="M32" s="34"/>
      <c r="N32" s="34"/>
      <c r="O32" s="37">
        <f t="shared" si="1"/>
        <v>0.70171180000000011</v>
      </c>
      <c r="P32" s="37">
        <f t="shared" si="2"/>
        <v>8.3661152000000114E-2</v>
      </c>
      <c r="Q32" s="37">
        <f t="shared" si="3"/>
        <v>0.78537295200000024</v>
      </c>
      <c r="R32" s="41"/>
      <c r="S32" s="41"/>
      <c r="T32" s="41"/>
      <c r="U32" s="41"/>
    </row>
    <row r="33" spans="1:21">
      <c r="A33">
        <f>Entry!B34</f>
        <v>117</v>
      </c>
      <c r="B33" s="2" t="s">
        <v>18</v>
      </c>
      <c r="C33" s="19">
        <f>Entry!C34</f>
        <v>42400.572916666664</v>
      </c>
      <c r="D33" s="43">
        <f>Entry!D34</f>
        <v>2.1062499999970896</v>
      </c>
      <c r="E33" s="2">
        <v>100</v>
      </c>
      <c r="F33" s="35">
        <v>10</v>
      </c>
      <c r="G33" s="36">
        <f>Entry!H34</f>
        <v>8.7799999999999994</v>
      </c>
      <c r="H33" s="36">
        <f>Entry!I34</f>
        <v>5.12</v>
      </c>
      <c r="I33" s="2">
        <v>1</v>
      </c>
      <c r="J33" s="2">
        <v>1.9438</v>
      </c>
      <c r="K33" s="37">
        <f t="shared" si="4"/>
        <v>0.878</v>
      </c>
      <c r="L33" s="37">
        <f t="shared" si="0"/>
        <v>1.7148437499999998</v>
      </c>
      <c r="M33" s="34"/>
      <c r="N33" s="34"/>
      <c r="O33" s="37">
        <f t="shared" si="1"/>
        <v>0.71143079999999992</v>
      </c>
      <c r="P33" s="37">
        <f t="shared" si="2"/>
        <v>0.12455870400000009</v>
      </c>
      <c r="Q33" s="37">
        <f t="shared" si="3"/>
        <v>0.83598950400000005</v>
      </c>
      <c r="R33" s="41"/>
      <c r="S33" s="41"/>
      <c r="T33" s="41"/>
      <c r="U33" s="41"/>
    </row>
    <row r="34" spans="1:21">
      <c r="A34">
        <f>Entry!B35</f>
        <v>118</v>
      </c>
      <c r="B34" s="2" t="s">
        <v>18</v>
      </c>
      <c r="C34" s="19">
        <f>Entry!C35</f>
        <v>42400.572916666664</v>
      </c>
      <c r="D34" s="43">
        <f>Entry!D35</f>
        <v>2.1062499999970896</v>
      </c>
      <c r="E34" s="2">
        <v>100</v>
      </c>
      <c r="F34" s="35">
        <v>10</v>
      </c>
      <c r="G34" s="36">
        <f>Entry!H35</f>
        <v>7.68</v>
      </c>
      <c r="H34" s="36">
        <f>Entry!I35</f>
        <v>4.4800000000000004</v>
      </c>
      <c r="I34" s="2">
        <v>1</v>
      </c>
      <c r="J34" s="2">
        <v>1.9438</v>
      </c>
      <c r="K34" s="37">
        <f t="shared" si="4"/>
        <v>0.76800000000000002</v>
      </c>
      <c r="L34" s="37">
        <f t="shared" si="0"/>
        <v>1.714285714285714</v>
      </c>
      <c r="M34" s="34">
        <f>AVERAGE(K32:K34)</f>
        <v>0.82933333333333348</v>
      </c>
      <c r="N34" s="34">
        <f>AVERAGE(M32:M34)</f>
        <v>0.82933333333333348</v>
      </c>
      <c r="O34" s="37">
        <f t="shared" si="1"/>
        <v>0.6220159999999999</v>
      </c>
      <c r="P34" s="37">
        <f t="shared" si="2"/>
        <v>0.10947481600000038</v>
      </c>
      <c r="Q34" s="37">
        <f t="shared" si="3"/>
        <v>0.73149081600000032</v>
      </c>
      <c r="R34" s="41"/>
      <c r="S34" s="41"/>
      <c r="T34" s="41"/>
      <c r="U34" s="41"/>
    </row>
    <row r="35" spans="1:21">
      <c r="A35">
        <f>Entry!B36</f>
        <v>119</v>
      </c>
      <c r="B35" s="2" t="s">
        <v>18</v>
      </c>
      <c r="C35" s="19">
        <f>Entry!C36</f>
        <v>42400.59375</v>
      </c>
      <c r="D35" s="43">
        <f>Entry!D36</f>
        <v>2.1270833333328483</v>
      </c>
      <c r="E35" s="2">
        <v>100</v>
      </c>
      <c r="F35" s="35">
        <v>10</v>
      </c>
      <c r="G35" s="36">
        <f>Entry!H36</f>
        <v>6.56</v>
      </c>
      <c r="H35" s="36">
        <f>Entry!I36</f>
        <v>3.71</v>
      </c>
      <c r="I35" s="2">
        <v>1</v>
      </c>
      <c r="J35" s="2">
        <v>1.9438</v>
      </c>
      <c r="K35" s="37">
        <f t="shared" si="4"/>
        <v>0.65600000000000003</v>
      </c>
      <c r="L35" s="37">
        <f t="shared" si="0"/>
        <v>1.7681940700808625</v>
      </c>
      <c r="M35" s="34"/>
      <c r="N35" s="34"/>
      <c r="O35" s="37">
        <f t="shared" si="1"/>
        <v>0.553983</v>
      </c>
      <c r="P35" s="37">
        <f t="shared" si="2"/>
        <v>5.1782832000000167E-2</v>
      </c>
      <c r="Q35" s="37">
        <f t="shared" si="3"/>
        <v>0.60576583200000012</v>
      </c>
      <c r="R35" s="41"/>
      <c r="S35" s="41"/>
      <c r="T35" s="41"/>
      <c r="U35" s="41"/>
    </row>
    <row r="36" spans="1:21">
      <c r="A36">
        <f>Entry!B37</f>
        <v>120</v>
      </c>
      <c r="B36" s="2" t="s">
        <v>18</v>
      </c>
      <c r="C36" s="19">
        <f>Entry!C37</f>
        <v>42400.59375</v>
      </c>
      <c r="D36" s="43">
        <f>Entry!D37</f>
        <v>2.1270833333328483</v>
      </c>
      <c r="E36" s="2">
        <v>100</v>
      </c>
      <c r="F36" s="35">
        <v>10</v>
      </c>
      <c r="G36" s="36">
        <f>Entry!H37</f>
        <v>6.89</v>
      </c>
      <c r="H36" s="36">
        <f>Entry!I37</f>
        <v>4.1100000000000003</v>
      </c>
      <c r="I36" s="2">
        <v>1</v>
      </c>
      <c r="J36" s="2">
        <v>1.9438</v>
      </c>
      <c r="K36" s="37">
        <f t="shared" si="4"/>
        <v>0.68900000000000006</v>
      </c>
      <c r="L36" s="37">
        <f t="shared" si="0"/>
        <v>1.6763990267639901</v>
      </c>
      <c r="M36" s="34"/>
      <c r="N36" s="34"/>
      <c r="O36" s="37">
        <f t="shared" si="1"/>
        <v>0.54037639999999987</v>
      </c>
      <c r="P36" s="37">
        <f t="shared" si="2"/>
        <v>0.13070111200000029</v>
      </c>
      <c r="Q36" s="37">
        <f t="shared" si="3"/>
        <v>0.6710775120000001</v>
      </c>
      <c r="R36" s="41"/>
      <c r="S36" s="41"/>
      <c r="T36" s="41"/>
      <c r="U36" s="41"/>
    </row>
    <row r="37" spans="1:21">
      <c r="A37">
        <f>Entry!B38</f>
        <v>121</v>
      </c>
      <c r="B37" s="2" t="s">
        <v>18</v>
      </c>
      <c r="C37" s="19">
        <f>Entry!C38</f>
        <v>42400.59375</v>
      </c>
      <c r="D37" s="43">
        <f>Entry!D38</f>
        <v>2.1270833333328483</v>
      </c>
      <c r="E37" s="2">
        <v>100</v>
      </c>
      <c r="F37" s="35">
        <v>10</v>
      </c>
      <c r="G37" s="36">
        <f>Entry!H38</f>
        <v>6.57</v>
      </c>
      <c r="H37" s="36">
        <f>Entry!I38</f>
        <v>3.8</v>
      </c>
      <c r="I37" s="2">
        <v>1</v>
      </c>
      <c r="J37" s="2">
        <v>1.9438</v>
      </c>
      <c r="K37" s="37">
        <f t="shared" si="4"/>
        <v>0.65700000000000003</v>
      </c>
      <c r="L37" s="37">
        <f t="shared" si="0"/>
        <v>1.7289473684210528</v>
      </c>
      <c r="M37" s="34">
        <f>AVERAGE(K35:K37)</f>
        <v>0.66733333333333344</v>
      </c>
      <c r="N37" s="34">
        <f>AVERAGE(M35:M37)</f>
        <v>0.66733333333333344</v>
      </c>
      <c r="O37" s="37">
        <f t="shared" si="1"/>
        <v>0.53843260000000004</v>
      </c>
      <c r="P37" s="37">
        <f t="shared" si="2"/>
        <v>8.2028359999999953E-2</v>
      </c>
      <c r="Q37" s="37">
        <f t="shared" si="3"/>
        <v>0.62046095999999995</v>
      </c>
      <c r="R37" s="41"/>
      <c r="S37" s="41"/>
      <c r="T37" s="41"/>
      <c r="U37" s="41"/>
    </row>
    <row r="38" spans="1:21">
      <c r="A38">
        <f>Entry!B39</f>
        <v>122</v>
      </c>
      <c r="B38" s="2" t="s">
        <v>18</v>
      </c>
      <c r="C38" s="19">
        <f>Entry!C39</f>
        <v>42400.611111111109</v>
      </c>
      <c r="D38" s="43">
        <f>Entry!D39</f>
        <v>2.1444444444423425</v>
      </c>
      <c r="E38" s="2">
        <v>100</v>
      </c>
      <c r="F38" s="35">
        <v>10</v>
      </c>
      <c r="G38" s="36">
        <f>Entry!H39</f>
        <v>6.86</v>
      </c>
      <c r="H38" s="36">
        <f>Entry!I39</f>
        <v>4</v>
      </c>
      <c r="I38" s="2">
        <v>1</v>
      </c>
      <c r="J38" s="2">
        <v>1.9438</v>
      </c>
      <c r="K38" s="37">
        <f t="shared" si="4"/>
        <v>0.68600000000000005</v>
      </c>
      <c r="L38" s="37">
        <f t="shared" si="0"/>
        <v>1.7150000000000001</v>
      </c>
      <c r="M38" s="34"/>
      <c r="N38" s="34"/>
      <c r="O38" s="37">
        <f t="shared" si="1"/>
        <v>0.55592680000000005</v>
      </c>
      <c r="P38" s="37">
        <f t="shared" si="2"/>
        <v>9.7189999999999999E-2</v>
      </c>
      <c r="Q38" s="37">
        <f t="shared" si="3"/>
        <v>0.65311680000000005</v>
      </c>
      <c r="R38" s="41"/>
      <c r="S38" s="41"/>
      <c r="T38" s="41"/>
      <c r="U38" s="41"/>
    </row>
    <row r="39" spans="1:21">
      <c r="A39">
        <f>Entry!B40</f>
        <v>123</v>
      </c>
      <c r="B39" s="2" t="s">
        <v>18</v>
      </c>
      <c r="C39" s="19">
        <f>Entry!C40</f>
        <v>42400.611111111109</v>
      </c>
      <c r="D39" s="43">
        <f>Entry!D40</f>
        <v>2.1444444444423425</v>
      </c>
      <c r="E39" s="2">
        <v>100</v>
      </c>
      <c r="F39" s="35">
        <v>10</v>
      </c>
      <c r="G39" s="36">
        <f>Entry!H40</f>
        <v>7.91</v>
      </c>
      <c r="H39" s="36">
        <f>Entry!I40</f>
        <v>4.47</v>
      </c>
      <c r="I39" s="2">
        <v>1</v>
      </c>
      <c r="J39" s="2">
        <v>1.9438</v>
      </c>
      <c r="K39" s="37">
        <f t="shared" si="4"/>
        <v>0.79100000000000004</v>
      </c>
      <c r="L39" s="37">
        <f t="shared" si="0"/>
        <v>1.7695749440715884</v>
      </c>
      <c r="M39" s="34"/>
      <c r="N39" s="34"/>
      <c r="O39" s="37">
        <f t="shared" si="1"/>
        <v>0.66866720000000013</v>
      </c>
      <c r="P39" s="37">
        <f t="shared" si="2"/>
        <v>6.1190823999999991E-2</v>
      </c>
      <c r="Q39" s="37">
        <f t="shared" si="3"/>
        <v>0.72985802400000011</v>
      </c>
      <c r="R39" s="41"/>
      <c r="S39" s="41"/>
      <c r="T39" s="41"/>
      <c r="U39" s="41"/>
    </row>
    <row r="40" spans="1:21">
      <c r="A40">
        <f>Entry!B41</f>
        <v>124</v>
      </c>
      <c r="B40" s="2" t="s">
        <v>18</v>
      </c>
      <c r="C40" s="19">
        <f>Entry!C41</f>
        <v>42400.611111111109</v>
      </c>
      <c r="D40" s="43">
        <f>Entry!D41</f>
        <v>2.1444444444423425</v>
      </c>
      <c r="E40" s="2">
        <v>100</v>
      </c>
      <c r="F40" s="35">
        <v>10</v>
      </c>
      <c r="G40" s="36">
        <f>Entry!H41</f>
        <v>7.49</v>
      </c>
      <c r="H40" s="36">
        <f>Entry!I41</f>
        <v>4.37</v>
      </c>
      <c r="I40" s="2">
        <v>1</v>
      </c>
      <c r="J40" s="2">
        <v>1.9438</v>
      </c>
      <c r="K40" s="37">
        <f t="shared" si="4"/>
        <v>0.74900000000000011</v>
      </c>
      <c r="L40" s="37">
        <f t="shared" si="0"/>
        <v>1.7139588100686498</v>
      </c>
      <c r="M40" s="34">
        <f>AVERAGE(K38:K40)</f>
        <v>0.74199999999999999</v>
      </c>
      <c r="N40" s="34">
        <f>AVERAGE(M38:M40)</f>
        <v>0.74199999999999999</v>
      </c>
      <c r="O40" s="37">
        <f t="shared" si="1"/>
        <v>0.60646560000000005</v>
      </c>
      <c r="P40" s="37">
        <f t="shared" si="2"/>
        <v>0.10706450400000012</v>
      </c>
      <c r="Q40" s="37">
        <f t="shared" si="3"/>
        <v>0.71353010400000016</v>
      </c>
      <c r="R40" s="41"/>
      <c r="S40" s="41"/>
      <c r="T40" s="41"/>
      <c r="U40" s="41"/>
    </row>
    <row r="41" spans="1:21">
      <c r="A41">
        <f>Entry!B42</f>
        <v>125</v>
      </c>
      <c r="B41" s="2" t="s">
        <v>18</v>
      </c>
      <c r="C41" s="19">
        <f>Entry!C42</f>
        <v>42400.631944444445</v>
      </c>
      <c r="D41" s="43">
        <f>Entry!D42</f>
        <v>2.1652777777781012</v>
      </c>
      <c r="E41" s="2">
        <v>100</v>
      </c>
      <c r="F41" s="35">
        <v>10</v>
      </c>
      <c r="G41" s="36">
        <f>Entry!H42</f>
        <v>6.76</v>
      </c>
      <c r="H41" s="36">
        <f>Entry!I42</f>
        <v>3.7</v>
      </c>
      <c r="I41" s="2">
        <v>1</v>
      </c>
      <c r="J41" s="2">
        <v>1.9438</v>
      </c>
      <c r="K41" s="37">
        <f t="shared" si="4"/>
        <v>0.67600000000000005</v>
      </c>
      <c r="L41" s="37">
        <f t="shared" si="0"/>
        <v>1.8270270270270268</v>
      </c>
      <c r="M41" s="34"/>
      <c r="N41" s="34"/>
      <c r="O41" s="37">
        <f t="shared" si="1"/>
        <v>0.59480279999999996</v>
      </c>
      <c r="P41" s="37">
        <f t="shared" si="2"/>
        <v>9.3302400000001822E-3</v>
      </c>
      <c r="Q41" s="37">
        <f t="shared" si="3"/>
        <v>0.60413304000000012</v>
      </c>
      <c r="R41" s="41"/>
      <c r="S41" s="41"/>
      <c r="T41" s="41"/>
      <c r="U41" s="41"/>
    </row>
    <row r="42" spans="1:21">
      <c r="A42">
        <f>Entry!B43</f>
        <v>126</v>
      </c>
      <c r="B42" s="2" t="s">
        <v>18</v>
      </c>
      <c r="C42" s="19">
        <f>Entry!C43</f>
        <v>42400.631944444445</v>
      </c>
      <c r="D42" s="43">
        <f>Entry!D43</f>
        <v>2.1652777777781012</v>
      </c>
      <c r="E42" s="2">
        <v>100</v>
      </c>
      <c r="F42" s="35">
        <v>10</v>
      </c>
      <c r="G42" s="36">
        <f>Entry!H43</f>
        <v>6.61</v>
      </c>
      <c r="H42" s="36">
        <f>Entry!I43</f>
        <v>3.91</v>
      </c>
      <c r="I42" s="2">
        <v>1</v>
      </c>
      <c r="J42" s="2">
        <v>1.9438</v>
      </c>
      <c r="K42" s="37">
        <f t="shared" si="4"/>
        <v>0.66100000000000003</v>
      </c>
      <c r="L42" s="37">
        <f t="shared" si="0"/>
        <v>1.6905370843989771</v>
      </c>
      <c r="M42" s="34"/>
      <c r="N42" s="34"/>
      <c r="O42" s="37">
        <f t="shared" si="1"/>
        <v>0.52482600000000001</v>
      </c>
      <c r="P42" s="37">
        <f t="shared" si="2"/>
        <v>0.11359567200000009</v>
      </c>
      <c r="Q42" s="37">
        <f t="shared" si="3"/>
        <v>0.63842167200000011</v>
      </c>
      <c r="R42" s="41"/>
      <c r="S42" s="41"/>
      <c r="T42" s="41"/>
      <c r="U42" s="41"/>
    </row>
    <row r="43" spans="1:21">
      <c r="A43">
        <f>Entry!B44</f>
        <v>127</v>
      </c>
      <c r="B43" s="2" t="s">
        <v>18</v>
      </c>
      <c r="C43" s="19">
        <f>Entry!C44</f>
        <v>42400.631944444445</v>
      </c>
      <c r="D43" s="43">
        <f>Entry!D44</f>
        <v>2.1652777777781012</v>
      </c>
      <c r="E43" s="2">
        <v>100</v>
      </c>
      <c r="F43" s="35">
        <v>10</v>
      </c>
      <c r="G43" s="36">
        <f>Entry!H44</f>
        <v>6.42</v>
      </c>
      <c r="H43" s="36">
        <f>Entry!I44</f>
        <v>3.47</v>
      </c>
      <c r="I43" s="2">
        <v>1</v>
      </c>
      <c r="J43" s="2">
        <v>1.9438</v>
      </c>
      <c r="K43" s="37">
        <f t="shared" si="4"/>
        <v>0.64200000000000002</v>
      </c>
      <c r="L43" s="37">
        <f t="shared" si="0"/>
        <v>1.85014409221902</v>
      </c>
      <c r="M43" s="34">
        <f>AVERAGE(K41:K43)</f>
        <v>0.65966666666666673</v>
      </c>
      <c r="N43" s="34">
        <f>AVERAGE(M41:M43)</f>
        <v>0.65966666666666673</v>
      </c>
      <c r="O43" s="37">
        <f t="shared" si="1"/>
        <v>0.57342099999999996</v>
      </c>
      <c r="P43" s="37">
        <f t="shared" si="2"/>
        <v>-6.8421759999999377E-3</v>
      </c>
      <c r="Q43" s="37">
        <f t="shared" si="3"/>
        <v>0.56657882400000004</v>
      </c>
      <c r="R43" s="41"/>
      <c r="S43" s="41"/>
      <c r="T43" s="41"/>
      <c r="U43" s="41"/>
    </row>
    <row r="44" spans="1:21">
      <c r="A44">
        <f>Entry!B45</f>
        <v>218</v>
      </c>
      <c r="B44" s="2" t="s">
        <v>18</v>
      </c>
      <c r="C44" s="19">
        <f>Entry!C45</f>
        <v>42403.53125</v>
      </c>
      <c r="D44" s="43">
        <f>Entry!D45</f>
        <v>5.0645833333328483</v>
      </c>
      <c r="E44" s="2">
        <v>100</v>
      </c>
      <c r="F44" s="35">
        <v>10</v>
      </c>
      <c r="G44" s="36">
        <f>Entry!H45</f>
        <v>7.04</v>
      </c>
      <c r="H44" s="36">
        <f>Entry!I45</f>
        <v>4.12</v>
      </c>
      <c r="I44" s="2">
        <v>1</v>
      </c>
      <c r="J44" s="2">
        <v>1.9438</v>
      </c>
      <c r="K44" s="37">
        <f t="shared" si="4"/>
        <v>0.70400000000000007</v>
      </c>
      <c r="L44" s="37">
        <f t="shared" si="0"/>
        <v>1.7087378640776698</v>
      </c>
      <c r="M44" s="34"/>
      <c r="N44" s="34"/>
      <c r="O44" s="37">
        <f t="shared" si="1"/>
        <v>0.56758960000000003</v>
      </c>
      <c r="P44" s="37">
        <f t="shared" si="2"/>
        <v>0.10512070400000016</v>
      </c>
      <c r="Q44" s="37">
        <f t="shared" si="3"/>
        <v>0.6727103040000002</v>
      </c>
      <c r="R44" s="41"/>
      <c r="S44" s="41"/>
      <c r="T44" s="41"/>
      <c r="U44" s="41"/>
    </row>
    <row r="45" spans="1:21">
      <c r="A45">
        <f>Entry!B46</f>
        <v>219</v>
      </c>
      <c r="B45" s="2" t="s">
        <v>18</v>
      </c>
      <c r="C45" s="19">
        <f>Entry!C46</f>
        <v>42403.53125</v>
      </c>
      <c r="D45" s="43">
        <f>Entry!D46</f>
        <v>5.0645833333328483</v>
      </c>
      <c r="E45" s="2">
        <v>100</v>
      </c>
      <c r="F45" s="35">
        <v>10</v>
      </c>
      <c r="G45" s="36">
        <f>Entry!H46</f>
        <v>6.01</v>
      </c>
      <c r="H45" s="36">
        <f>Entry!I46</f>
        <v>3.6</v>
      </c>
      <c r="I45" s="2">
        <v>1</v>
      </c>
      <c r="J45" s="2">
        <v>1.9438</v>
      </c>
      <c r="K45" s="37">
        <f t="shared" si="4"/>
        <v>0.60099999999999998</v>
      </c>
      <c r="L45" s="37">
        <f t="shared" si="0"/>
        <v>1.6694444444444443</v>
      </c>
      <c r="M45" s="34"/>
      <c r="N45" s="34"/>
      <c r="O45" s="37">
        <f t="shared" si="1"/>
        <v>0.46845579999999992</v>
      </c>
      <c r="P45" s="37">
        <f t="shared" si="2"/>
        <v>0.11934932000000015</v>
      </c>
      <c r="Q45" s="37">
        <f t="shared" si="3"/>
        <v>0.58780512000000007</v>
      </c>
      <c r="R45" s="41"/>
      <c r="S45" s="41"/>
      <c r="T45" s="41"/>
      <c r="U45" s="41"/>
    </row>
    <row r="46" spans="1:21">
      <c r="A46">
        <f>Entry!B47</f>
        <v>220</v>
      </c>
      <c r="B46" s="2" t="s">
        <v>18</v>
      </c>
      <c r="C46" s="19">
        <f>Entry!C47</f>
        <v>42403.53125</v>
      </c>
      <c r="D46" s="43">
        <f>Entry!D47</f>
        <v>5.0645833333328483</v>
      </c>
      <c r="E46" s="2">
        <v>100</v>
      </c>
      <c r="F46" s="35">
        <v>10</v>
      </c>
      <c r="G46" s="36">
        <f>Entry!H47</f>
        <v>7.94</v>
      </c>
      <c r="H46" s="36">
        <f>Entry!I47</f>
        <v>4.6500000000000004</v>
      </c>
      <c r="I46" s="2">
        <v>1</v>
      </c>
      <c r="J46" s="2">
        <v>1.9438</v>
      </c>
      <c r="K46" s="37">
        <f t="shared" si="4"/>
        <v>0.79400000000000004</v>
      </c>
      <c r="L46" s="37">
        <f t="shared" si="0"/>
        <v>1.7075268817204301</v>
      </c>
      <c r="M46" s="34">
        <f>AVERAGE(K44:K46)</f>
        <v>0.69966666666666677</v>
      </c>
      <c r="N46" s="34">
        <f>AVERAGE(M44:M46)</f>
        <v>0.69966666666666677</v>
      </c>
      <c r="O46" s="37">
        <f t="shared" si="1"/>
        <v>0.63951020000000003</v>
      </c>
      <c r="P46" s="37">
        <f t="shared" si="2"/>
        <v>0.11973808000000011</v>
      </c>
      <c r="Q46" s="37">
        <f t="shared" si="3"/>
        <v>0.75924828000000011</v>
      </c>
      <c r="R46" s="41"/>
      <c r="S46" s="41"/>
      <c r="T46" s="41"/>
      <c r="U46" s="41"/>
    </row>
    <row r="47" spans="1:21" s="17" customFormat="1">
      <c r="A47">
        <f>Entry!B48</f>
        <v>221</v>
      </c>
      <c r="B47" s="53" t="s">
        <v>18</v>
      </c>
      <c r="C47" s="19">
        <f>Entry!C48</f>
        <v>42403.552083333336</v>
      </c>
      <c r="D47" s="52">
        <f>Entry!D48</f>
        <v>5.0854166666686069</v>
      </c>
      <c r="E47" s="53">
        <v>100</v>
      </c>
      <c r="F47" s="54">
        <v>10</v>
      </c>
      <c r="G47" s="36">
        <f>Entry!H48</f>
        <v>8.48</v>
      </c>
      <c r="H47" s="36">
        <f>Entry!I48</f>
        <v>4.9000000000000004</v>
      </c>
      <c r="I47" s="53">
        <v>1</v>
      </c>
      <c r="J47" s="53">
        <v>1.9438</v>
      </c>
      <c r="K47" s="37">
        <f t="shared" si="4"/>
        <v>0.84800000000000009</v>
      </c>
      <c r="L47" s="37">
        <f t="shared" si="0"/>
        <v>1.7306122448979591</v>
      </c>
      <c r="M47" s="55"/>
      <c r="N47" s="55"/>
      <c r="O47" s="37">
        <f t="shared" si="1"/>
        <v>0.69588040000000007</v>
      </c>
      <c r="P47" s="37">
        <f t="shared" si="2"/>
        <v>0.10418768000000028</v>
      </c>
      <c r="Q47" s="37">
        <f t="shared" si="3"/>
        <v>0.8000680800000004</v>
      </c>
      <c r="R47" s="56"/>
      <c r="S47" s="56"/>
      <c r="T47" s="56"/>
      <c r="U47" s="56"/>
    </row>
    <row r="48" spans="1:21" s="17" customFormat="1">
      <c r="A48">
        <f>Entry!B49</f>
        <v>222</v>
      </c>
      <c r="B48" s="53" t="s">
        <v>18</v>
      </c>
      <c r="C48" s="19">
        <f>Entry!C49</f>
        <v>42403.552083333336</v>
      </c>
      <c r="D48" s="52">
        <f>Entry!D49</f>
        <v>5.0854166666686069</v>
      </c>
      <c r="E48" s="53">
        <v>100</v>
      </c>
      <c r="F48" s="54">
        <v>10</v>
      </c>
      <c r="G48" s="36">
        <f>Entry!H49</f>
        <v>8.84</v>
      </c>
      <c r="H48" s="36">
        <f>Entry!I49</f>
        <v>5.0999999999999996</v>
      </c>
      <c r="I48" s="53">
        <v>1</v>
      </c>
      <c r="J48" s="53">
        <v>1.9438</v>
      </c>
      <c r="K48" s="37">
        <f t="shared" si="4"/>
        <v>0.88400000000000001</v>
      </c>
      <c r="L48" s="37">
        <f t="shared" si="0"/>
        <v>1.7333333333333334</v>
      </c>
      <c r="M48" s="55"/>
      <c r="N48" s="55"/>
      <c r="O48" s="37">
        <f t="shared" si="1"/>
        <v>0.72698119999999999</v>
      </c>
      <c r="P48" s="37">
        <f t="shared" si="2"/>
        <v>0.1057427200000001</v>
      </c>
      <c r="Q48" s="37">
        <f t="shared" si="3"/>
        <v>0.83272392000000006</v>
      </c>
      <c r="R48" s="56"/>
      <c r="S48" s="56"/>
      <c r="T48" s="56"/>
      <c r="U48" s="56"/>
    </row>
    <row r="49" spans="1:21" s="17" customFormat="1">
      <c r="A49">
        <f>Entry!B50</f>
        <v>223</v>
      </c>
      <c r="B49" s="53" t="s">
        <v>18</v>
      </c>
      <c r="C49" s="19">
        <f>Entry!C50</f>
        <v>42403.552083333336</v>
      </c>
      <c r="D49" s="52">
        <f>Entry!D50</f>
        <v>5.0854166666686069</v>
      </c>
      <c r="E49" s="53">
        <v>100</v>
      </c>
      <c r="F49" s="54">
        <v>10</v>
      </c>
      <c r="G49" s="36">
        <f>Entry!H50</f>
        <v>9.41</v>
      </c>
      <c r="H49" s="36">
        <f>Entry!I50</f>
        <v>5.46</v>
      </c>
      <c r="I49" s="53">
        <v>1</v>
      </c>
      <c r="J49" s="53">
        <v>1.9438</v>
      </c>
      <c r="K49" s="37">
        <f t="shared" si="4"/>
        <v>0.94100000000000006</v>
      </c>
      <c r="L49" s="37">
        <f t="shared" si="0"/>
        <v>1.7234432234432235</v>
      </c>
      <c r="M49" s="55">
        <f>AVERAGE(K47:K49)</f>
        <v>0.89100000000000001</v>
      </c>
      <c r="N49" s="55">
        <f>AVERAGE(M47:M49)</f>
        <v>0.89100000000000001</v>
      </c>
      <c r="O49" s="37">
        <f t="shared" si="1"/>
        <v>0.76780100000000007</v>
      </c>
      <c r="P49" s="37">
        <f t="shared" si="2"/>
        <v>0.12370343200000003</v>
      </c>
      <c r="Q49" s="37">
        <f t="shared" si="3"/>
        <v>0.89150443200000007</v>
      </c>
      <c r="R49" s="56"/>
      <c r="S49" s="56"/>
      <c r="T49" s="56"/>
      <c r="U49" s="56"/>
    </row>
    <row r="50" spans="1:21">
      <c r="A50">
        <f>Entry!B51</f>
        <v>224</v>
      </c>
      <c r="B50" s="2" t="s">
        <v>18</v>
      </c>
      <c r="C50" s="19">
        <f>Entry!C51</f>
        <v>42403.572916666664</v>
      </c>
      <c r="D50" s="43">
        <f>Entry!D51</f>
        <v>5.1062499999970896</v>
      </c>
      <c r="E50" s="2">
        <v>100</v>
      </c>
      <c r="F50" s="35">
        <v>10</v>
      </c>
      <c r="G50" s="36">
        <f>Entry!H51</f>
        <v>8.42</v>
      </c>
      <c r="H50" s="36">
        <f>Entry!I51</f>
        <v>4.8099999999999996</v>
      </c>
      <c r="I50" s="2">
        <v>1</v>
      </c>
      <c r="J50" s="2">
        <v>1.9438</v>
      </c>
      <c r="K50" s="37">
        <f t="shared" si="4"/>
        <v>0.84200000000000008</v>
      </c>
      <c r="L50" s="37">
        <f t="shared" si="0"/>
        <v>1.7505197505197507</v>
      </c>
      <c r="M50" s="34"/>
      <c r="N50" s="34"/>
      <c r="O50" s="37">
        <f t="shared" si="1"/>
        <v>0.70171180000000011</v>
      </c>
      <c r="P50" s="37">
        <f t="shared" si="2"/>
        <v>8.3661152000000114E-2</v>
      </c>
      <c r="Q50" s="37">
        <f t="shared" si="3"/>
        <v>0.78537295200000024</v>
      </c>
      <c r="R50" s="41"/>
      <c r="S50" s="41"/>
      <c r="T50" s="41"/>
      <c r="U50" s="41"/>
    </row>
    <row r="51" spans="1:21">
      <c r="A51">
        <f>Entry!B52</f>
        <v>225</v>
      </c>
      <c r="B51" s="2" t="s">
        <v>18</v>
      </c>
      <c r="C51" s="19">
        <f>Entry!C52</f>
        <v>42403.572916666664</v>
      </c>
      <c r="D51" s="43">
        <f>Entry!D52</f>
        <v>5.1062499999970896</v>
      </c>
      <c r="E51" s="2">
        <v>100</v>
      </c>
      <c r="F51" s="35">
        <v>10</v>
      </c>
      <c r="G51" s="36">
        <f>Entry!H52</f>
        <v>8.7799999999999994</v>
      </c>
      <c r="H51" s="36">
        <f>Entry!I52</f>
        <v>5.12</v>
      </c>
      <c r="I51" s="2">
        <v>1</v>
      </c>
      <c r="J51" s="2">
        <v>1.9438</v>
      </c>
      <c r="K51" s="37">
        <f t="shared" si="4"/>
        <v>0.878</v>
      </c>
      <c r="L51" s="37">
        <f t="shared" si="0"/>
        <v>1.7148437499999998</v>
      </c>
      <c r="M51" s="34"/>
      <c r="N51" s="34"/>
      <c r="O51" s="37">
        <f t="shared" si="1"/>
        <v>0.71143079999999992</v>
      </c>
      <c r="P51" s="37">
        <f t="shared" si="2"/>
        <v>0.12455870400000009</v>
      </c>
      <c r="Q51" s="37">
        <f t="shared" si="3"/>
        <v>0.83598950400000005</v>
      </c>
      <c r="R51" s="41"/>
      <c r="S51" s="41"/>
      <c r="T51" s="41"/>
      <c r="U51" s="41"/>
    </row>
    <row r="52" spans="1:21">
      <c r="A52">
        <f>Entry!B53</f>
        <v>226</v>
      </c>
      <c r="B52" s="2" t="s">
        <v>18</v>
      </c>
      <c r="C52" s="19">
        <f>Entry!C53</f>
        <v>42403.572916666664</v>
      </c>
      <c r="D52" s="43">
        <f>Entry!D53</f>
        <v>5.1062499999970896</v>
      </c>
      <c r="E52" s="2">
        <v>100</v>
      </c>
      <c r="F52" s="35">
        <v>10</v>
      </c>
      <c r="G52" s="36">
        <f>Entry!H53</f>
        <v>7.68</v>
      </c>
      <c r="H52" s="36">
        <f>Entry!I53</f>
        <v>4.4800000000000004</v>
      </c>
      <c r="I52" s="2">
        <v>1</v>
      </c>
      <c r="J52" s="2">
        <v>1.9438</v>
      </c>
      <c r="K52" s="37">
        <f t="shared" si="4"/>
        <v>0.76800000000000002</v>
      </c>
      <c r="L52" s="37">
        <f t="shared" si="0"/>
        <v>1.714285714285714</v>
      </c>
      <c r="M52" s="34">
        <f>AVERAGE(K50:K52)</f>
        <v>0.82933333333333348</v>
      </c>
      <c r="N52" s="34">
        <f>AVERAGE(M50:M52)</f>
        <v>0.82933333333333348</v>
      </c>
      <c r="O52" s="37">
        <f t="shared" si="1"/>
        <v>0.6220159999999999</v>
      </c>
      <c r="P52" s="37">
        <f t="shared" si="2"/>
        <v>0.10947481600000038</v>
      </c>
      <c r="Q52" s="37">
        <f t="shared" si="3"/>
        <v>0.73149081600000032</v>
      </c>
      <c r="R52" s="41"/>
      <c r="S52" s="41"/>
      <c r="T52" s="41"/>
      <c r="U52" s="41"/>
    </row>
    <row r="53" spans="1:21">
      <c r="A53">
        <f>Entry!B54</f>
        <v>227</v>
      </c>
      <c r="B53" s="2" t="s">
        <v>18</v>
      </c>
      <c r="C53" s="19">
        <f>Entry!C54</f>
        <v>42403.59375</v>
      </c>
      <c r="D53" s="43">
        <f>Entry!D54</f>
        <v>5.1270833333328483</v>
      </c>
      <c r="E53" s="2">
        <v>100</v>
      </c>
      <c r="F53" s="35">
        <v>10</v>
      </c>
      <c r="G53" s="36">
        <f>Entry!H54</f>
        <v>6.56</v>
      </c>
      <c r="H53" s="36">
        <f>Entry!I54</f>
        <v>3.71</v>
      </c>
      <c r="I53" s="2">
        <v>1</v>
      </c>
      <c r="J53" s="2">
        <v>1.9438</v>
      </c>
      <c r="K53" s="37">
        <f t="shared" si="4"/>
        <v>0.65600000000000003</v>
      </c>
      <c r="L53" s="37">
        <f t="shared" si="0"/>
        <v>1.7681940700808625</v>
      </c>
      <c r="M53" s="34"/>
      <c r="N53" s="34"/>
      <c r="O53" s="37">
        <f t="shared" si="1"/>
        <v>0.553983</v>
      </c>
      <c r="P53" s="37">
        <f t="shared" si="2"/>
        <v>5.1782832000000167E-2</v>
      </c>
      <c r="Q53" s="37">
        <f t="shared" si="3"/>
        <v>0.60576583200000012</v>
      </c>
      <c r="R53" s="41"/>
      <c r="S53" s="41"/>
      <c r="T53" s="41"/>
      <c r="U53" s="41"/>
    </row>
    <row r="54" spans="1:21">
      <c r="A54">
        <f>Entry!B55</f>
        <v>228</v>
      </c>
      <c r="B54" s="2" t="s">
        <v>18</v>
      </c>
      <c r="C54" s="19">
        <f>Entry!C55</f>
        <v>42403.59375</v>
      </c>
      <c r="D54" s="43">
        <f>Entry!D55</f>
        <v>5.1270833333328483</v>
      </c>
      <c r="E54" s="2">
        <v>100</v>
      </c>
      <c r="F54" s="35">
        <v>10</v>
      </c>
      <c r="G54" s="36">
        <f>Entry!H55</f>
        <v>6.89</v>
      </c>
      <c r="H54" s="36">
        <f>Entry!I55</f>
        <v>4.1100000000000003</v>
      </c>
      <c r="I54" s="2">
        <v>1</v>
      </c>
      <c r="J54" s="2">
        <v>1.9438</v>
      </c>
      <c r="K54" s="37">
        <f t="shared" si="4"/>
        <v>0.68900000000000006</v>
      </c>
      <c r="L54" s="37">
        <f t="shared" si="0"/>
        <v>1.6763990267639901</v>
      </c>
      <c r="M54" s="34"/>
      <c r="N54" s="34"/>
      <c r="O54" s="37">
        <f t="shared" si="1"/>
        <v>0.54037639999999987</v>
      </c>
      <c r="P54" s="37">
        <f t="shared" si="2"/>
        <v>0.13070111200000029</v>
      </c>
      <c r="Q54" s="37">
        <f t="shared" si="3"/>
        <v>0.6710775120000001</v>
      </c>
      <c r="R54" s="41"/>
      <c r="S54" s="41"/>
      <c r="T54" s="41"/>
      <c r="U54" s="41"/>
    </row>
    <row r="55" spans="1:21">
      <c r="A55">
        <f>Entry!B56</f>
        <v>229</v>
      </c>
      <c r="B55" s="2" t="s">
        <v>18</v>
      </c>
      <c r="C55" s="19">
        <f>Entry!C56</f>
        <v>42403.59375</v>
      </c>
      <c r="D55" s="43">
        <f>Entry!D56</f>
        <v>5.1270833333328483</v>
      </c>
      <c r="E55" s="2">
        <v>100</v>
      </c>
      <c r="F55" s="35">
        <v>10</v>
      </c>
      <c r="G55" s="36">
        <f>Entry!H56</f>
        <v>6.57</v>
      </c>
      <c r="H55" s="36">
        <f>Entry!I56</f>
        <v>3.8</v>
      </c>
      <c r="I55" s="2">
        <v>1</v>
      </c>
      <c r="J55" s="2">
        <v>1.9438</v>
      </c>
      <c r="K55" s="37">
        <f t="shared" si="4"/>
        <v>0.65700000000000003</v>
      </c>
      <c r="L55" s="37">
        <f t="shared" si="0"/>
        <v>1.7289473684210528</v>
      </c>
      <c r="M55" s="34">
        <f>AVERAGE(K53:K55)</f>
        <v>0.66733333333333344</v>
      </c>
      <c r="N55" s="34">
        <f>AVERAGE(M53:M55)</f>
        <v>0.66733333333333344</v>
      </c>
      <c r="O55" s="37">
        <f t="shared" si="1"/>
        <v>0.53843260000000004</v>
      </c>
      <c r="P55" s="37">
        <f t="shared" si="2"/>
        <v>8.2028359999999953E-2</v>
      </c>
      <c r="Q55" s="37">
        <f t="shared" si="3"/>
        <v>0.62046095999999995</v>
      </c>
      <c r="R55" s="41"/>
      <c r="S55" s="41"/>
      <c r="T55" s="41"/>
      <c r="U55" s="41"/>
    </row>
    <row r="56" spans="1:21">
      <c r="A56">
        <f>Entry!B57</f>
        <v>230</v>
      </c>
      <c r="B56" s="2" t="s">
        <v>18</v>
      </c>
      <c r="C56" s="19">
        <f>Entry!C57</f>
        <v>42403.611111111109</v>
      </c>
      <c r="D56" s="43">
        <f>Entry!D57</f>
        <v>5.1444444444423425</v>
      </c>
      <c r="E56" s="2">
        <v>100</v>
      </c>
      <c r="F56" s="35">
        <v>10</v>
      </c>
      <c r="G56" s="36">
        <f>Entry!H57</f>
        <v>6.86</v>
      </c>
      <c r="H56" s="36">
        <f>Entry!I57</f>
        <v>4</v>
      </c>
      <c r="I56" s="2">
        <v>1</v>
      </c>
      <c r="J56" s="2">
        <v>1.9438</v>
      </c>
      <c r="K56" s="37">
        <f t="shared" si="4"/>
        <v>0.68600000000000005</v>
      </c>
      <c r="L56" s="37">
        <f t="shared" si="0"/>
        <v>1.7150000000000001</v>
      </c>
      <c r="M56" s="34"/>
      <c r="N56" s="34"/>
      <c r="O56" s="37">
        <f t="shared" si="1"/>
        <v>0.55592680000000005</v>
      </c>
      <c r="P56" s="37">
        <f t="shared" si="2"/>
        <v>9.7189999999999999E-2</v>
      </c>
      <c r="Q56" s="37">
        <f t="shared" si="3"/>
        <v>0.65311680000000005</v>
      </c>
      <c r="R56" s="41"/>
      <c r="S56" s="41"/>
      <c r="T56" s="41"/>
      <c r="U56" s="41"/>
    </row>
    <row r="57" spans="1:21">
      <c r="A57">
        <f>Entry!B58</f>
        <v>231</v>
      </c>
      <c r="B57" s="2" t="s">
        <v>18</v>
      </c>
      <c r="C57" s="19">
        <f>Entry!C58</f>
        <v>42403.611111111109</v>
      </c>
      <c r="D57" s="43">
        <f>Entry!D58</f>
        <v>5.1444444444423425</v>
      </c>
      <c r="E57" s="2">
        <v>100</v>
      </c>
      <c r="F57" s="35">
        <v>10</v>
      </c>
      <c r="G57" s="36">
        <f>Entry!H58</f>
        <v>7.91</v>
      </c>
      <c r="H57" s="36">
        <f>Entry!I58</f>
        <v>4.47</v>
      </c>
      <c r="I57" s="2">
        <v>1</v>
      </c>
      <c r="J57" s="2">
        <v>1.9438</v>
      </c>
      <c r="K57" s="37">
        <f t="shared" si="4"/>
        <v>0.79100000000000004</v>
      </c>
      <c r="L57" s="37">
        <f t="shared" si="0"/>
        <v>1.7695749440715884</v>
      </c>
      <c r="M57" s="34"/>
      <c r="N57" s="34"/>
      <c r="O57" s="37">
        <f t="shared" si="1"/>
        <v>0.66866720000000013</v>
      </c>
      <c r="P57" s="37">
        <f t="shared" si="2"/>
        <v>6.1190823999999991E-2</v>
      </c>
      <c r="Q57" s="37">
        <f t="shared" si="3"/>
        <v>0.72985802400000011</v>
      </c>
      <c r="R57" s="41"/>
      <c r="S57" s="41"/>
      <c r="T57" s="41"/>
      <c r="U57" s="41"/>
    </row>
    <row r="58" spans="1:21">
      <c r="A58">
        <f>Entry!B59</f>
        <v>232</v>
      </c>
      <c r="B58" s="2" t="s">
        <v>18</v>
      </c>
      <c r="C58" s="19">
        <f>Entry!C59</f>
        <v>42403.611111111109</v>
      </c>
      <c r="D58" s="43">
        <f>Entry!D59</f>
        <v>5.1444444444423425</v>
      </c>
      <c r="E58" s="2">
        <v>100</v>
      </c>
      <c r="F58" s="35">
        <v>10</v>
      </c>
      <c r="G58" s="36">
        <f>Entry!H59</f>
        <v>7.49</v>
      </c>
      <c r="H58" s="36">
        <f>Entry!I59</f>
        <v>4.37</v>
      </c>
      <c r="I58" s="2">
        <v>1</v>
      </c>
      <c r="J58" s="2">
        <v>1.9438</v>
      </c>
      <c r="K58" s="37">
        <f t="shared" si="4"/>
        <v>0.74900000000000011</v>
      </c>
      <c r="L58" s="37">
        <f t="shared" si="0"/>
        <v>1.7139588100686498</v>
      </c>
      <c r="M58" s="34">
        <f>AVERAGE(K56:K58)</f>
        <v>0.74199999999999999</v>
      </c>
      <c r="N58" s="34">
        <f>AVERAGE(M56:M58)</f>
        <v>0.74199999999999999</v>
      </c>
      <c r="O58" s="37">
        <f t="shared" si="1"/>
        <v>0.60646560000000005</v>
      </c>
      <c r="P58" s="37">
        <f t="shared" si="2"/>
        <v>0.10706450400000012</v>
      </c>
      <c r="Q58" s="37">
        <f t="shared" si="3"/>
        <v>0.71353010400000016</v>
      </c>
      <c r="R58" s="41"/>
      <c r="S58" s="41"/>
      <c r="T58" s="41"/>
      <c r="U58" s="41"/>
    </row>
    <row r="59" spans="1:21">
      <c r="A59">
        <f>Entry!B60</f>
        <v>233</v>
      </c>
      <c r="B59" s="2" t="s">
        <v>18</v>
      </c>
      <c r="C59" s="19">
        <f>Entry!C60</f>
        <v>42403.631944444445</v>
      </c>
      <c r="D59" s="43">
        <f>Entry!D60</f>
        <v>5.1652777777781012</v>
      </c>
      <c r="E59" s="2">
        <v>100</v>
      </c>
      <c r="F59" s="35">
        <v>10</v>
      </c>
      <c r="G59" s="36">
        <f>Entry!H60</f>
        <v>6.76</v>
      </c>
      <c r="H59" s="36">
        <f>Entry!I60</f>
        <v>3.7</v>
      </c>
      <c r="I59" s="2">
        <v>1</v>
      </c>
      <c r="J59" s="2">
        <v>1.9438</v>
      </c>
      <c r="K59" s="37">
        <f t="shared" si="4"/>
        <v>0.67600000000000005</v>
      </c>
      <c r="L59" s="37">
        <f t="shared" si="0"/>
        <v>1.8270270270270268</v>
      </c>
      <c r="M59" s="34"/>
      <c r="N59" s="34"/>
      <c r="O59" s="37">
        <f t="shared" si="1"/>
        <v>0.59480279999999996</v>
      </c>
      <c r="P59" s="37">
        <f t="shared" si="2"/>
        <v>9.3302400000001822E-3</v>
      </c>
      <c r="Q59" s="37">
        <f t="shared" si="3"/>
        <v>0.60413304000000012</v>
      </c>
      <c r="R59" s="41"/>
      <c r="S59" s="41"/>
      <c r="T59" s="41"/>
      <c r="U59" s="41"/>
    </row>
    <row r="60" spans="1:21">
      <c r="A60">
        <f>Entry!B61</f>
        <v>234</v>
      </c>
      <c r="B60" s="2" t="s">
        <v>18</v>
      </c>
      <c r="C60" s="19">
        <f>Entry!C61</f>
        <v>42403.631944444445</v>
      </c>
      <c r="D60" s="43">
        <f>Entry!D61</f>
        <v>5.1652777777781012</v>
      </c>
      <c r="E60" s="2">
        <v>100</v>
      </c>
      <c r="F60" s="35">
        <v>10</v>
      </c>
      <c r="G60" s="36">
        <f>Entry!H61</f>
        <v>6.61</v>
      </c>
      <c r="H60" s="36">
        <f>Entry!I61</f>
        <v>3.91</v>
      </c>
      <c r="I60" s="2">
        <v>1</v>
      </c>
      <c r="J60" s="2">
        <v>1.9438</v>
      </c>
      <c r="K60" s="37">
        <f t="shared" si="4"/>
        <v>0.66100000000000003</v>
      </c>
      <c r="L60" s="37">
        <f t="shared" si="0"/>
        <v>1.6905370843989771</v>
      </c>
      <c r="M60" s="34"/>
      <c r="N60" s="34"/>
      <c r="O60" s="37">
        <f t="shared" si="1"/>
        <v>0.52482600000000001</v>
      </c>
      <c r="P60" s="37">
        <f t="shared" si="2"/>
        <v>0.11359567200000009</v>
      </c>
      <c r="Q60" s="37">
        <f t="shared" si="3"/>
        <v>0.63842167200000011</v>
      </c>
      <c r="R60" s="41"/>
      <c r="S60" s="41"/>
      <c r="T60" s="41"/>
      <c r="U60" s="41"/>
    </row>
    <row r="61" spans="1:21">
      <c r="A61">
        <f>Entry!B62</f>
        <v>235</v>
      </c>
      <c r="B61" s="2" t="s">
        <v>18</v>
      </c>
      <c r="C61" s="19">
        <f>Entry!C62</f>
        <v>42403.631944444445</v>
      </c>
      <c r="D61" s="43">
        <f>Entry!D62</f>
        <v>5.1652777777781012</v>
      </c>
      <c r="E61" s="2">
        <v>100</v>
      </c>
      <c r="F61" s="35">
        <v>10</v>
      </c>
      <c r="G61" s="36">
        <f>Entry!H62</f>
        <v>6.42</v>
      </c>
      <c r="H61" s="36">
        <f>Entry!I62</f>
        <v>3.47</v>
      </c>
      <c r="I61" s="2">
        <v>1</v>
      </c>
      <c r="J61" s="2">
        <v>1.9438</v>
      </c>
      <c r="K61" s="37">
        <f t="shared" si="4"/>
        <v>0.64200000000000002</v>
      </c>
      <c r="L61" s="37">
        <f t="shared" si="0"/>
        <v>1.85014409221902</v>
      </c>
      <c r="M61" s="34">
        <f>AVERAGE(K59:K61)</f>
        <v>0.65966666666666673</v>
      </c>
      <c r="N61" s="34">
        <f>AVERAGE(M59:M61)</f>
        <v>0.65966666666666673</v>
      </c>
      <c r="O61" s="37">
        <f t="shared" si="1"/>
        <v>0.57342099999999996</v>
      </c>
      <c r="P61" s="37">
        <f t="shared" si="2"/>
        <v>-6.8421759999999377E-3</v>
      </c>
      <c r="Q61" s="37">
        <f t="shared" si="3"/>
        <v>0.56657882400000004</v>
      </c>
      <c r="R61" s="41"/>
      <c r="S61" s="41"/>
      <c r="T61" s="41"/>
      <c r="U61" s="41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75"/>
  <cols>
    <col min="1" max="1" width="9.140625" style="23" customWidth="1"/>
    <col min="2" max="2" width="9.140625" style="24" customWidth="1"/>
    <col min="3" max="6" width="9.140625" style="25" customWidth="1"/>
  </cols>
  <sheetData>
    <row r="1" spans="1:6">
      <c r="A1" s="23" t="s">
        <v>24</v>
      </c>
    </row>
    <row r="2" spans="1:6">
      <c r="A2" s="23" t="s">
        <v>25</v>
      </c>
    </row>
    <row r="3" spans="1:6">
      <c r="A3" s="23" t="s">
        <v>26</v>
      </c>
    </row>
    <row r="4" spans="1:6">
      <c r="A4" s="23" t="s">
        <v>27</v>
      </c>
    </row>
    <row r="5" spans="1:6">
      <c r="A5" s="23" t="s">
        <v>28</v>
      </c>
    </row>
    <row r="6" spans="1:6">
      <c r="A6" s="23" t="str">
        <f>CONCATENATE("/cruise=s",TEXT(Results!$C$2,"yymmdd"),"w")</f>
        <v>/cruise=s200130w</v>
      </c>
    </row>
    <row r="7" spans="1:6">
      <c r="A7" s="23" t="s">
        <v>29</v>
      </c>
    </row>
    <row r="8" spans="1:6">
      <c r="A8" s="25" t="e">
        <f>CONCATENATE("/east_longitude=",TEXT(MAX(Results!#REF!),"0.0000"),"[DEG]")</f>
        <v>#REF!</v>
      </c>
      <c r="F8"/>
    </row>
    <row r="9" spans="1:6">
      <c r="A9" s="25" t="e">
        <f>CONCATENATE("/west_longitude=",TEXT(MIN(Results!#REF!),"0.0000"),"[DEG]")</f>
        <v>#REF!</v>
      </c>
      <c r="F9"/>
    </row>
    <row r="10" spans="1:6">
      <c r="A10" s="25" t="e">
        <f>CONCATENATE("/north_latitude=",TEXT(MAX(Results!#REF!),"0.0000"),"[DEG]")</f>
        <v>#REF!</v>
      </c>
      <c r="F10"/>
    </row>
    <row r="11" spans="1:6">
      <c r="A11" s="25" t="e">
        <f>CONCATENATE("/south_latitude=",TEXT(MIN(Results!#REF!),"0.0000"),"[DEG]")</f>
        <v>#REF!</v>
      </c>
      <c r="F11"/>
    </row>
    <row r="12" spans="1:6">
      <c r="A12" s="25" t="str">
        <f>CONCATENATE("/start_date=",TEXT(MIN(Results!$C$2:$C$10),"yyyymmdd"))</f>
        <v>/start_date=20200130</v>
      </c>
      <c r="F12"/>
    </row>
    <row r="13" spans="1:6">
      <c r="A13" s="25" t="str">
        <f>CONCATENATE("/end_date=",TEXT(MAX(Results!$C$2:$C$10),"yyyymmdd"))</f>
        <v>/end_date=20200131</v>
      </c>
      <c r="F13"/>
    </row>
    <row r="14" spans="1:6">
      <c r="A14" s="25" t="str">
        <f>CONCATENATE("/start_time=",TEXT(MIN(Results!$D$2:$D$10)+4/24,"hh:mm:ss"),"[GMT]")</f>
        <v>/start_time=04:00:00[GMT]</v>
      </c>
      <c r="F14"/>
    </row>
    <row r="15" spans="1:6">
      <c r="A15" s="25" t="str">
        <f>CONCATENATE("/end_time=",TEXT(MAX(Results!$D$2:$D$10)+4/24,"hh:mm:ss"),"[GMT]")</f>
        <v>/end_time=05:18:00[GMT]</v>
      </c>
      <c r="F15"/>
    </row>
    <row r="16" spans="1:6">
      <c r="A16" s="23" t="s">
        <v>30</v>
      </c>
      <c r="F16"/>
    </row>
    <row r="17" spans="1:6">
      <c r="A17" s="23" t="s">
        <v>31</v>
      </c>
    </row>
    <row r="18" spans="1:6">
      <c r="A18" s="23" t="s">
        <v>32</v>
      </c>
    </row>
    <row r="19" spans="1:6">
      <c r="A19" s="23" t="s">
        <v>33</v>
      </c>
    </row>
    <row r="20" spans="1:6">
      <c r="A20" s="25" t="str">
        <f>CONCATENATE("/data_file_name=chl-s",TEXT($A$32,"yymmdd"),"w.xls")</f>
        <v>/data_file_name=chl-s200130w.xls</v>
      </c>
    </row>
    <row r="21" spans="1:6">
      <c r="A21" s="23" t="s">
        <v>34</v>
      </c>
    </row>
    <row r="22" spans="1:6">
      <c r="A22" s="23" t="s">
        <v>35</v>
      </c>
    </row>
    <row r="23" spans="1:6">
      <c r="A23" s="23" t="s">
        <v>36</v>
      </c>
    </row>
    <row r="24" spans="1:6">
      <c r="A24" s="23" t="s">
        <v>37</v>
      </c>
    </row>
    <row r="25" spans="1:6">
      <c r="A25" s="23" t="s">
        <v>38</v>
      </c>
    </row>
    <row r="26" spans="1:6">
      <c r="A26" s="23" t="s">
        <v>39</v>
      </c>
    </row>
    <row r="27" spans="1:6">
      <c r="A27" s="23" t="s">
        <v>40</v>
      </c>
    </row>
    <row r="28" spans="1:6">
      <c r="A28" s="23" t="s">
        <v>41</v>
      </c>
    </row>
    <row r="29" spans="1:6">
      <c r="A29" s="23" t="s">
        <v>42</v>
      </c>
    </row>
    <row r="30" spans="1:6">
      <c r="A30" s="23" t="s">
        <v>43</v>
      </c>
    </row>
    <row r="31" spans="1:6">
      <c r="A31" s="23" t="s">
        <v>44</v>
      </c>
    </row>
    <row r="32" spans="1:6">
      <c r="A32" s="23">
        <f>Results!C2</f>
        <v>42398.466666666667</v>
      </c>
      <c r="B32" s="24">
        <f>Results!D2+4/24</f>
        <v>0.16666666666666666</v>
      </c>
      <c r="C32" s="25" t="e">
        <f>Results!#REF!</f>
        <v>#REF!</v>
      </c>
      <c r="D32" s="25" t="e">
        <f>Results!#REF!</f>
        <v>#REF!</v>
      </c>
      <c r="E32" s="25">
        <f>Results!O2</f>
        <v>0.98356280000000018</v>
      </c>
      <c r="F32" s="25" t="str">
        <f>LEFT(Results!A2,LEN(Results!A2)-1)</f>
        <v>5</v>
      </c>
    </row>
    <row r="33" spans="1:6">
      <c r="A33" s="23" t="e">
        <f>Results!#REF!</f>
        <v>#REF!</v>
      </c>
      <c r="B33" s="24" t="e">
        <f>Results!#REF!+4/24</f>
        <v>#REF!</v>
      </c>
      <c r="C33" s="25" t="e">
        <f>Results!#REF!</f>
        <v>#REF!</v>
      </c>
      <c r="D33" s="25" t="e">
        <f>Results!#REF!</f>
        <v>#REF!</v>
      </c>
      <c r="E33" s="25" t="e">
        <f>Results!#REF!</f>
        <v>#REF!</v>
      </c>
      <c r="F33" s="25" t="e">
        <f>LEFT(Results!#REF!,LEN(Results!#REF!)-1)</f>
        <v>#REF!</v>
      </c>
    </row>
    <row r="34" spans="1:6">
      <c r="A34" s="23" t="e">
        <f>Results!#REF!</f>
        <v>#REF!</v>
      </c>
      <c r="B34" s="24" t="e">
        <f>Results!#REF!+4/24</f>
        <v>#REF!</v>
      </c>
      <c r="C34" s="25" t="e">
        <f>Results!#REF!</f>
        <v>#REF!</v>
      </c>
      <c r="D34" s="25" t="e">
        <f>Results!#REF!</f>
        <v>#REF!</v>
      </c>
      <c r="E34" s="25" t="e">
        <f>Results!#REF!</f>
        <v>#REF!</v>
      </c>
      <c r="F34" s="25" t="e">
        <f>LEFT(Results!#REF!,LEN(Results!#REF!)-1)</f>
        <v>#REF!</v>
      </c>
    </row>
    <row r="35" spans="1:6">
      <c r="A35" s="23">
        <f>Results!C3</f>
        <v>42398.466666666667</v>
      </c>
      <c r="B35" s="24">
        <f>Results!D3+4/24</f>
        <v>0.16666666666666666</v>
      </c>
      <c r="C35" s="25" t="e">
        <f>Results!#REF!</f>
        <v>#REF!</v>
      </c>
      <c r="D35" s="25" t="e">
        <f>Results!#REF!</f>
        <v>#REF!</v>
      </c>
      <c r="E35" s="25">
        <f>Results!O3</f>
        <v>0.94079920000000039</v>
      </c>
      <c r="F35" s="25" t="str">
        <f>LEFT(Results!A3,LEN(Results!A3)-1)</f>
        <v>5</v>
      </c>
    </row>
    <row r="36" spans="1:6">
      <c r="A36" s="23" t="e">
        <f>Results!#REF!</f>
        <v>#REF!</v>
      </c>
      <c r="B36" s="24" t="e">
        <f>Results!#REF!+4/24</f>
        <v>#REF!</v>
      </c>
      <c r="C36" s="25" t="e">
        <f>Results!#REF!</f>
        <v>#REF!</v>
      </c>
      <c r="D36" s="25" t="e">
        <f>Results!#REF!</f>
        <v>#REF!</v>
      </c>
      <c r="E36" s="25" t="e">
        <f>Results!#REF!</f>
        <v>#REF!</v>
      </c>
      <c r="F36" s="25" t="e">
        <f>LEFT(Results!#REF!,LEN(Results!#REF!)-1)</f>
        <v>#REF!</v>
      </c>
    </row>
    <row r="37" spans="1:6">
      <c r="A37" s="23" t="e">
        <f>Results!#REF!</f>
        <v>#REF!</v>
      </c>
      <c r="B37" s="24" t="e">
        <f>Results!#REF!+4/24</f>
        <v>#REF!</v>
      </c>
      <c r="C37" s="25" t="e">
        <f>Results!#REF!</f>
        <v>#REF!</v>
      </c>
      <c r="D37" s="25" t="e">
        <f>Results!#REF!</f>
        <v>#REF!</v>
      </c>
      <c r="E37" s="25" t="e">
        <f>Results!#REF!</f>
        <v>#REF!</v>
      </c>
      <c r="F37" s="25" t="e">
        <f>LEFT(Results!#REF!,LEN(Results!#REF!)-1)</f>
        <v>#REF!</v>
      </c>
    </row>
    <row r="38" spans="1:6">
      <c r="A38" s="23">
        <f>Results!C4</f>
        <v>42398.466666666667</v>
      </c>
      <c r="B38" s="24">
        <f>Results!D4+4/24</f>
        <v>0.16666666666666666</v>
      </c>
      <c r="C38" s="25" t="e">
        <f>Results!#REF!</f>
        <v>#REF!</v>
      </c>
      <c r="D38" s="25" t="e">
        <f>Results!#REF!</f>
        <v>#REF!</v>
      </c>
      <c r="E38" s="25">
        <f>Results!O4</f>
        <v>0.91747360000000033</v>
      </c>
      <c r="F38" s="25" t="str">
        <f>LEFT(Results!A4,LEN(Results!A4)-1)</f>
        <v>5</v>
      </c>
    </row>
    <row r="39" spans="1:6">
      <c r="A39" s="23" t="e">
        <f>Results!#REF!</f>
        <v>#REF!</v>
      </c>
      <c r="B39" s="24" t="e">
        <f>Results!#REF!+4/24</f>
        <v>#REF!</v>
      </c>
      <c r="C39" s="25" t="e">
        <f>Results!#REF!</f>
        <v>#REF!</v>
      </c>
      <c r="D39" s="25" t="e">
        <f>Results!#REF!</f>
        <v>#REF!</v>
      </c>
      <c r="E39" s="25" t="e">
        <f>Results!#REF!</f>
        <v>#REF!</v>
      </c>
      <c r="F39" s="25" t="e">
        <f>LEFT(Results!#REF!,LEN(Results!#REF!)-1)</f>
        <v>#REF!</v>
      </c>
    </row>
    <row r="40" spans="1:6">
      <c r="A40" s="23" t="e">
        <f>Results!#REF!</f>
        <v>#REF!</v>
      </c>
      <c r="B40" s="24" t="e">
        <f>Results!#REF!+4/24</f>
        <v>#REF!</v>
      </c>
      <c r="C40" s="25" t="e">
        <f>Results!#REF!</f>
        <v>#REF!</v>
      </c>
      <c r="D40" s="25" t="e">
        <f>Results!#REF!</f>
        <v>#REF!</v>
      </c>
      <c r="E40" s="25" t="e">
        <f>Results!#REF!</f>
        <v>#REF!</v>
      </c>
      <c r="F40" s="25" t="e">
        <f>LEFT(Results!#REF!,LEN(Results!#REF!)-1)</f>
        <v>#REF!</v>
      </c>
    </row>
    <row r="41" spans="1:6">
      <c r="A41" s="23">
        <f>Results!C5</f>
        <v>42398.55972222222</v>
      </c>
      <c r="B41" s="24">
        <f>Results!D5+4/24</f>
        <v>0.25972222221995855</v>
      </c>
      <c r="C41" s="25" t="e">
        <f>Results!#REF!</f>
        <v>#REF!</v>
      </c>
      <c r="D41" s="25" t="e">
        <f>Results!#REF!</f>
        <v>#REF!</v>
      </c>
      <c r="E41" s="25">
        <f>Results!O5</f>
        <v>0.72698120000000044</v>
      </c>
      <c r="F41" s="25" t="str">
        <f>LEFT(Results!A5,LEN(Results!A5)-1)</f>
        <v>5</v>
      </c>
    </row>
    <row r="42" spans="1:6">
      <c r="A42" s="23" t="e">
        <f>Results!#REF!</f>
        <v>#REF!</v>
      </c>
      <c r="B42" s="24" t="e">
        <f>Results!#REF!+4/24</f>
        <v>#REF!</v>
      </c>
      <c r="C42" s="25" t="e">
        <f>Results!#REF!</f>
        <v>#REF!</v>
      </c>
      <c r="D42" s="25" t="e">
        <f>Results!#REF!</f>
        <v>#REF!</v>
      </c>
      <c r="E42" s="25" t="e">
        <f>Results!#REF!</f>
        <v>#REF!</v>
      </c>
      <c r="F42" s="25" t="e">
        <f>LEFT(Results!#REF!,LEN(Results!#REF!)-1)</f>
        <v>#REF!</v>
      </c>
    </row>
    <row r="43" spans="1:6">
      <c r="A43" s="23" t="e">
        <f>Results!#REF!</f>
        <v>#REF!</v>
      </c>
      <c r="B43" s="24" t="e">
        <f>Results!#REF!+4/24</f>
        <v>#REF!</v>
      </c>
      <c r="C43" s="25" t="e">
        <f>Results!#REF!</f>
        <v>#REF!</v>
      </c>
      <c r="D43" s="25" t="e">
        <f>Results!#REF!</f>
        <v>#REF!</v>
      </c>
      <c r="E43" s="25" t="e">
        <f>Results!#REF!</f>
        <v>#REF!</v>
      </c>
      <c r="F43" s="25" t="e">
        <f>LEFT(Results!#REF!,LEN(Results!#REF!)-1)</f>
        <v>#REF!</v>
      </c>
    </row>
    <row r="44" spans="1:6">
      <c r="A44" s="23">
        <f>Results!C6</f>
        <v>42398.55972222222</v>
      </c>
      <c r="B44" s="24">
        <f>Results!D6+4/24</f>
        <v>0.25972222221995855</v>
      </c>
      <c r="C44" s="25" t="e">
        <f>Results!#REF!</f>
        <v>#REF!</v>
      </c>
      <c r="D44" s="25" t="e">
        <f>Results!#REF!</f>
        <v>#REF!</v>
      </c>
      <c r="E44" s="25">
        <f>Results!O6</f>
        <v>0.60840939999999999</v>
      </c>
      <c r="F44" s="25" t="str">
        <f>LEFT(Results!A6,LEN(Results!A6)-1)</f>
        <v>5</v>
      </c>
    </row>
    <row r="45" spans="1:6">
      <c r="A45" s="23" t="e">
        <f>Results!#REF!</f>
        <v>#REF!</v>
      </c>
      <c r="B45" s="24" t="e">
        <f>Results!#REF!+4/24</f>
        <v>#REF!</v>
      </c>
      <c r="C45" s="25" t="e">
        <f>Results!#REF!</f>
        <v>#REF!</v>
      </c>
      <c r="D45" s="25" t="e">
        <f>Results!#REF!</f>
        <v>#REF!</v>
      </c>
      <c r="E45" s="25" t="e">
        <f>Results!#REF!</f>
        <v>#REF!</v>
      </c>
      <c r="F45" s="25" t="e">
        <f>LEFT(Results!#REF!,LEN(Results!#REF!)-1)</f>
        <v>#REF!</v>
      </c>
    </row>
    <row r="46" spans="1:6">
      <c r="A46" s="23" t="e">
        <f>Results!#REF!</f>
        <v>#REF!</v>
      </c>
      <c r="B46" s="24" t="e">
        <f>Results!#REF!+4/24</f>
        <v>#REF!</v>
      </c>
      <c r="C46" s="25" t="e">
        <f>Results!#REF!</f>
        <v>#REF!</v>
      </c>
      <c r="D46" s="25" t="e">
        <f>Results!#REF!</f>
        <v>#REF!</v>
      </c>
      <c r="E46" s="25" t="e">
        <f>Results!#REF!</f>
        <v>#REF!</v>
      </c>
      <c r="F46" s="25" t="e">
        <f>LEFT(Results!#REF!,LEN(Results!#REF!)-1)</f>
        <v>#REF!</v>
      </c>
    </row>
    <row r="47" spans="1:6">
      <c r="A47" s="23">
        <f>Results!C7</f>
        <v>42398.55972222222</v>
      </c>
      <c r="B47" s="24">
        <f>Results!D7+4/24</f>
        <v>0.25972222221995855</v>
      </c>
      <c r="C47" s="25" t="e">
        <f>Results!#REF!</f>
        <v>#REF!</v>
      </c>
      <c r="D47" s="25" t="e">
        <f>Results!#REF!</f>
        <v>#REF!</v>
      </c>
      <c r="E47" s="25">
        <f>Results!O7</f>
        <v>0.68810519999999986</v>
      </c>
      <c r="F47" s="25" t="str">
        <f>LEFT(Results!A7,LEN(Results!A7)-1)</f>
        <v>5</v>
      </c>
    </row>
    <row r="48" spans="1:6">
      <c r="A48" s="23" t="e">
        <f>Results!#REF!</f>
        <v>#REF!</v>
      </c>
      <c r="B48" s="24" t="e">
        <f>Results!#REF!+4/24</f>
        <v>#REF!</v>
      </c>
      <c r="C48" s="25" t="e">
        <f>Results!#REF!</f>
        <v>#REF!</v>
      </c>
      <c r="D48" s="25" t="e">
        <f>Results!#REF!</f>
        <v>#REF!</v>
      </c>
      <c r="E48" s="25" t="e">
        <f>Results!#REF!</f>
        <v>#REF!</v>
      </c>
      <c r="F48" s="25" t="e">
        <f>LEFT(Results!#REF!,LEN(Results!#REF!)-1)</f>
        <v>#REF!</v>
      </c>
    </row>
    <row r="49" spans="1:6">
      <c r="A49" s="23" t="e">
        <f>Results!#REF!</f>
        <v>#REF!</v>
      </c>
      <c r="B49" s="24" t="e">
        <f>Results!#REF!+4/24</f>
        <v>#REF!</v>
      </c>
      <c r="C49" s="25" t="e">
        <f>Results!#REF!</f>
        <v>#REF!</v>
      </c>
      <c r="D49" s="25" t="e">
        <f>Results!#REF!</f>
        <v>#REF!</v>
      </c>
      <c r="E49" s="25" t="e">
        <f>Results!#REF!</f>
        <v>#REF!</v>
      </c>
      <c r="F49" s="25" t="e">
        <f>LEFT(Results!#REF!,LEN(Results!#REF!)-1)</f>
        <v>#REF!</v>
      </c>
    </row>
    <row r="50" spans="1:6">
      <c r="A50" s="23">
        <f>Results!C8</f>
        <v>42399.520833333336</v>
      </c>
      <c r="B50" s="24">
        <f>Results!D8+4/24</f>
        <v>1.2208333333352737</v>
      </c>
      <c r="C50" s="25" t="e">
        <f>Results!#REF!</f>
        <v>#REF!</v>
      </c>
      <c r="D50" s="25" t="e">
        <f>Results!#REF!</f>
        <v>#REF!</v>
      </c>
      <c r="E50" s="25">
        <f>Results!O8</f>
        <v>0</v>
      </c>
      <c r="F50" s="25" t="str">
        <f>LEFT(Results!A8,LEN(Results!A8)-1)</f>
        <v>7</v>
      </c>
    </row>
    <row r="51" spans="1:6">
      <c r="A51" s="23" t="e">
        <f>Results!#REF!</f>
        <v>#REF!</v>
      </c>
      <c r="B51" s="24" t="e">
        <f>Results!#REF!+4/24</f>
        <v>#REF!</v>
      </c>
      <c r="C51" s="25" t="e">
        <f>Results!#REF!</f>
        <v>#REF!</v>
      </c>
      <c r="D51" s="25" t="e">
        <f>Results!#REF!</f>
        <v>#REF!</v>
      </c>
      <c r="E51" s="25" t="e">
        <f>Results!#REF!</f>
        <v>#REF!</v>
      </c>
      <c r="F51" s="25" t="e">
        <f>LEFT(Results!#REF!,LEN(Results!#REF!)-1)</f>
        <v>#REF!</v>
      </c>
    </row>
    <row r="52" spans="1:6">
      <c r="A52" s="23" t="e">
        <f>Results!#REF!</f>
        <v>#REF!</v>
      </c>
      <c r="B52" s="24" t="e">
        <f>Results!#REF!+4/24</f>
        <v>#REF!</v>
      </c>
      <c r="C52" s="25" t="e">
        <f>Results!#REF!</f>
        <v>#REF!</v>
      </c>
      <c r="D52" s="25" t="e">
        <f>Results!#REF!</f>
        <v>#REF!</v>
      </c>
      <c r="E52" s="25" t="e">
        <f>Results!#REF!</f>
        <v>#REF!</v>
      </c>
      <c r="F52" s="25" t="e">
        <f>LEFT(Results!#REF!,LEN(Results!#REF!)-1)</f>
        <v>#REF!</v>
      </c>
    </row>
    <row r="53" spans="1:6">
      <c r="A53" s="23">
        <f>Results!C9</f>
        <v>42399.520833333336</v>
      </c>
      <c r="B53" s="24">
        <f>Results!D9+4/24</f>
        <v>1.2208333333352737</v>
      </c>
      <c r="C53" s="25" t="e">
        <f>Results!#REF!</f>
        <v>#REF!</v>
      </c>
      <c r="D53" s="25" t="e">
        <f>Results!#REF!</f>
        <v>#REF!</v>
      </c>
      <c r="E53" s="25">
        <f>Results!O9</f>
        <v>0.73281259999999993</v>
      </c>
      <c r="F53" s="25" t="str">
        <f>LEFT(Results!A9,LEN(Results!A9)-1)</f>
        <v>7</v>
      </c>
    </row>
    <row r="54" spans="1:6">
      <c r="A54" s="23" t="e">
        <f>Results!#REF!</f>
        <v>#REF!</v>
      </c>
      <c r="B54" s="24" t="e">
        <f>Results!#REF!+4/24</f>
        <v>#REF!</v>
      </c>
      <c r="C54" s="25" t="e">
        <f>Results!#REF!</f>
        <v>#REF!</v>
      </c>
      <c r="D54" s="25" t="e">
        <f>Results!#REF!</f>
        <v>#REF!</v>
      </c>
      <c r="E54" s="25" t="e">
        <f>Results!#REF!</f>
        <v>#REF!</v>
      </c>
      <c r="F54" s="25" t="e">
        <f>LEFT(Results!#REF!,LEN(Results!#REF!)-1)</f>
        <v>#REF!</v>
      </c>
    </row>
    <row r="55" spans="1:6">
      <c r="A55" s="23" t="e">
        <f>Results!#REF!</f>
        <v>#REF!</v>
      </c>
      <c r="B55" s="24" t="e">
        <f>Results!#REF!+4/24</f>
        <v>#REF!</v>
      </c>
      <c r="C55" s="25" t="e">
        <f>Results!#REF!</f>
        <v>#REF!</v>
      </c>
      <c r="D55" s="25" t="e">
        <f>Results!#REF!</f>
        <v>#REF!</v>
      </c>
      <c r="E55" s="25" t="e">
        <f>Results!#REF!</f>
        <v>#REF!</v>
      </c>
      <c r="F55" s="25" t="e">
        <f>LEFT(Results!#REF!,LEN(Results!#REF!)-1)</f>
        <v>#REF!</v>
      </c>
    </row>
    <row r="56" spans="1:6">
      <c r="A56" s="23">
        <f>Results!C10</f>
        <v>42399.520833333336</v>
      </c>
      <c r="B56" s="24">
        <f>Results!D10+4/24</f>
        <v>1.2208333333352737</v>
      </c>
      <c r="C56" s="25" t="e">
        <f>Results!#REF!</f>
        <v>#REF!</v>
      </c>
      <c r="D56" s="25" t="e">
        <f>Results!#REF!</f>
        <v>#REF!</v>
      </c>
      <c r="E56" s="25">
        <f>Results!O10</f>
        <v>0.68032999999999988</v>
      </c>
      <c r="F56" s="25" t="str">
        <f>LEFT(Results!A10,LEN(Results!A10)-1)</f>
        <v>7</v>
      </c>
    </row>
    <row r="57" spans="1:6">
      <c r="A57" s="23" t="e">
        <f>Results!#REF!</f>
        <v>#REF!</v>
      </c>
      <c r="B57" s="24" t="e">
        <f>Results!#REF!+4/24</f>
        <v>#REF!</v>
      </c>
      <c r="C57" s="25" t="e">
        <f>Results!#REF!</f>
        <v>#REF!</v>
      </c>
      <c r="D57" s="25" t="e">
        <f>Results!#REF!</f>
        <v>#REF!</v>
      </c>
      <c r="E57" s="25" t="e">
        <f>Results!#REF!</f>
        <v>#REF!</v>
      </c>
      <c r="F57" s="25" t="e">
        <f>LEFT(Results!#REF!,LEN(Results!#REF!)-1)</f>
        <v>#REF!</v>
      </c>
    </row>
    <row r="58" spans="1:6">
      <c r="A58" s="23" t="e">
        <f>Results!#REF!</f>
        <v>#REF!</v>
      </c>
      <c r="B58" s="24" t="e">
        <f>Results!#REF!+4/24</f>
        <v>#REF!</v>
      </c>
      <c r="C58" s="25" t="e">
        <f>Results!#REF!</f>
        <v>#REF!</v>
      </c>
      <c r="D58" s="25" t="e">
        <f>Results!#REF!</f>
        <v>#REF!</v>
      </c>
      <c r="E58" s="25" t="e">
        <f>Results!#REF!</f>
        <v>#REF!</v>
      </c>
      <c r="F58" s="25" t="e">
        <f>LEFT(Results!#REF!,LEN(Results!#REF!)-1)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75"/>
  <cols>
    <col min="2" max="3" width="9.140625" style="27" customWidth="1"/>
  </cols>
  <sheetData>
    <row r="1" spans="1:3">
      <c r="A1">
        <f>Entry!B3</f>
        <v>52</v>
      </c>
      <c r="B1" s="27" t="e">
        <f>Entry!#REF!</f>
        <v>#REF!</v>
      </c>
      <c r="C1" s="27" t="e">
        <f>Entry!#REF!</f>
        <v>#REF!</v>
      </c>
    </row>
    <row r="2" spans="1:3">
      <c r="A2">
        <f>Entry!B4</f>
        <v>53</v>
      </c>
      <c r="B2" s="27" t="e">
        <f>Entry!#REF!</f>
        <v>#REF!</v>
      </c>
      <c r="C2" s="27" t="e">
        <f>Entry!#REF!</f>
        <v>#REF!</v>
      </c>
    </row>
    <row r="3" spans="1:3">
      <c r="A3">
        <f>Entry!B5</f>
        <v>54</v>
      </c>
      <c r="B3" s="27" t="e">
        <f>Entry!#REF!</f>
        <v>#REF!</v>
      </c>
      <c r="C3" s="27" t="e">
        <f>Entry!#REF!</f>
        <v>#REF!</v>
      </c>
    </row>
    <row r="4" spans="1:3">
      <c r="A4">
        <f>Entry!B6</f>
        <v>57</v>
      </c>
      <c r="B4" s="27" t="e">
        <f>Entry!#REF!</f>
        <v>#REF!</v>
      </c>
      <c r="C4" s="27" t="e">
        <f>Entry!#REF!</f>
        <v>#REF!</v>
      </c>
    </row>
    <row r="5" spans="1:3">
      <c r="A5">
        <f>Entry!B7</f>
        <v>58</v>
      </c>
      <c r="B5" s="27" t="e">
        <f>Entry!#REF!</f>
        <v>#REF!</v>
      </c>
      <c r="C5" s="27" t="e">
        <f>Entry!#REF!</f>
        <v>#REF!</v>
      </c>
    </row>
    <row r="6" spans="1:3">
      <c r="A6">
        <f>Entry!B8</f>
        <v>59</v>
      </c>
      <c r="B6" s="27" t="e">
        <f>Entry!#REF!</f>
        <v>#REF!</v>
      </c>
      <c r="C6" s="27" t="e">
        <f>Entry!#REF!</f>
        <v>#REF!</v>
      </c>
    </row>
    <row r="7" spans="1:3">
      <c r="A7">
        <f>Entry!B9</f>
        <v>77</v>
      </c>
      <c r="B7" s="27" t="e">
        <f>Entry!#REF!</f>
        <v>#REF!</v>
      </c>
      <c r="C7" s="27" t="e">
        <f>Entry!#REF!</f>
        <v>#REF!</v>
      </c>
    </row>
    <row r="8" spans="1:3">
      <c r="A8">
        <f>Entry!B10</f>
        <v>78</v>
      </c>
      <c r="B8" s="27" t="e">
        <f>Entry!#REF!</f>
        <v>#REF!</v>
      </c>
      <c r="C8" s="27" t="e">
        <f>Entry!#REF!</f>
        <v>#REF!</v>
      </c>
    </row>
    <row r="9" spans="1:3">
      <c r="A9">
        <f>Entry!B11</f>
        <v>79</v>
      </c>
      <c r="B9" s="27" t="e">
        <f>Entry!#REF!</f>
        <v>#REF!</v>
      </c>
      <c r="C9" s="27" t="e">
        <f>Entry!#REF!</f>
        <v>#REF!</v>
      </c>
    </row>
  </sheetData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1"/>
  <sheetViews>
    <sheetView topLeftCell="N20" workbookViewId="0">
      <pane ySplit="720" activePane="bottomLeft"/>
      <selection sqref="A1:XFD1048576"/>
      <selection pane="bottomLeft" activeCell="H23" sqref="H23"/>
    </sheetView>
  </sheetViews>
  <sheetFormatPr defaultRowHeight="12.75"/>
  <cols>
    <col min="12" max="12" width="13.5703125" customWidth="1"/>
    <col min="13" max="13" width="9.140625" style="50"/>
    <col min="15" max="15" width="9.140625" style="50" customWidth="1"/>
    <col min="16" max="16" width="11.140625" customWidth="1"/>
    <col min="17" max="17" width="9.140625" style="50"/>
    <col min="19" max="19" width="9.140625" style="50"/>
    <col min="21" max="21" width="9.140625" style="50"/>
    <col min="23" max="23" width="9.140625" style="50"/>
    <col min="25" max="25" width="11.7109375" customWidth="1"/>
  </cols>
  <sheetData>
    <row r="1" spans="1:31">
      <c r="A1" t="s">
        <v>81</v>
      </c>
      <c r="B1" t="s">
        <v>72</v>
      </c>
      <c r="C1" t="s">
        <v>82</v>
      </c>
      <c r="D1" t="s">
        <v>77</v>
      </c>
      <c r="E1" t="s">
        <v>78</v>
      </c>
      <c r="F1" t="s">
        <v>13</v>
      </c>
      <c r="G1" t="s">
        <v>79</v>
      </c>
      <c r="H1" t="s">
        <v>95</v>
      </c>
      <c r="I1" t="s">
        <v>80</v>
      </c>
      <c r="J1" t="s">
        <v>96</v>
      </c>
      <c r="L1" s="44" t="s">
        <v>84</v>
      </c>
      <c r="M1" s="50" t="s">
        <v>83</v>
      </c>
      <c r="N1" t="s">
        <v>97</v>
      </c>
      <c r="O1" s="50" t="s">
        <v>85</v>
      </c>
      <c r="P1" t="s">
        <v>94</v>
      </c>
      <c r="Q1" s="50" t="s">
        <v>86</v>
      </c>
      <c r="R1" t="s">
        <v>98</v>
      </c>
      <c r="S1" s="50" t="s">
        <v>87</v>
      </c>
      <c r="T1" s="45" t="s">
        <v>99</v>
      </c>
      <c r="U1" s="50" t="s">
        <v>88</v>
      </c>
      <c r="V1" t="s">
        <v>100</v>
      </c>
      <c r="W1" s="50" t="s">
        <v>89</v>
      </c>
      <c r="X1" t="s">
        <v>101</v>
      </c>
      <c r="Y1" s="44" t="s">
        <v>92</v>
      </c>
      <c r="Z1" t="s">
        <v>83</v>
      </c>
      <c r="AA1" t="s">
        <v>85</v>
      </c>
      <c r="AB1" t="s">
        <v>86</v>
      </c>
      <c r="AC1" t="s">
        <v>87</v>
      </c>
      <c r="AD1" t="s">
        <v>88</v>
      </c>
      <c r="AE1" t="s">
        <v>89</v>
      </c>
    </row>
    <row r="2" spans="1:31">
      <c r="A2">
        <f>Entry!B3</f>
        <v>52</v>
      </c>
      <c r="B2" t="str">
        <f>Entry!A3</f>
        <v>control 1</v>
      </c>
      <c r="C2">
        <f>Results!K2</f>
        <v>1.2183000000000002</v>
      </c>
      <c r="F2">
        <f>Results!P2</f>
        <v>0.17947494160000008</v>
      </c>
      <c r="M2" s="51">
        <f>D4</f>
        <v>1.1816333333333333</v>
      </c>
      <c r="N2" s="41">
        <f>E4</f>
        <v>4.0414518843273843E-2</v>
      </c>
      <c r="O2" s="51">
        <f>D7</f>
        <v>0.77</v>
      </c>
      <c r="P2" s="41">
        <f>E7</f>
        <v>0.12681088281374053</v>
      </c>
      <c r="Q2" s="51">
        <f>D4</f>
        <v>1.1816333333333333</v>
      </c>
      <c r="R2" s="41">
        <f>E4</f>
        <v>4.0414518843273843E-2</v>
      </c>
      <c r="S2" s="51">
        <f>D4</f>
        <v>1.1816333333333333</v>
      </c>
      <c r="T2" s="41">
        <f>E4</f>
        <v>4.0414518843273843E-2</v>
      </c>
      <c r="U2" s="51">
        <f>D4</f>
        <v>1.1816333333333333</v>
      </c>
      <c r="V2" s="41">
        <f>E4</f>
        <v>4.0414518843273843E-2</v>
      </c>
      <c r="W2" s="51">
        <f>D4</f>
        <v>1.1816333333333333</v>
      </c>
      <c r="X2" s="41">
        <f>E4</f>
        <v>4.0414518843273843E-2</v>
      </c>
      <c r="Z2" s="43">
        <f>Entry!D5</f>
        <v>0</v>
      </c>
      <c r="AA2" s="43">
        <f>Entry!D8</f>
        <v>9.3055555553291924E-2</v>
      </c>
      <c r="AB2" s="43">
        <f>Entry!D5</f>
        <v>0</v>
      </c>
      <c r="AC2" s="43">
        <f>Entry!D5</f>
        <v>0</v>
      </c>
      <c r="AD2" s="43">
        <f>Entry!D5</f>
        <v>0</v>
      </c>
      <c r="AE2" s="43">
        <f>Entry!D5</f>
        <v>0</v>
      </c>
    </row>
    <row r="3" spans="1:31">
      <c r="A3">
        <f>Entry!B4</f>
        <v>53</v>
      </c>
      <c r="B3" t="str">
        <f>Entry!A4</f>
        <v>control 2</v>
      </c>
      <c r="C3">
        <f>Results!K3</f>
        <v>1.1883000000000001</v>
      </c>
      <c r="F3">
        <f>Results!P3</f>
        <v>0.20917620559999955</v>
      </c>
      <c r="M3" s="51">
        <f>D10</f>
        <v>0.88300000000000001</v>
      </c>
      <c r="N3" s="41">
        <f>E10</f>
        <v>2.9698484809834943E-2</v>
      </c>
      <c r="O3" s="51">
        <f>C16</f>
        <v>0.70300000000000007</v>
      </c>
      <c r="P3" s="41">
        <f>E16</f>
        <v>2.0506096654409896E-2</v>
      </c>
      <c r="Q3" s="51">
        <f>D13</f>
        <v>0.87800000000000011</v>
      </c>
      <c r="R3" s="41">
        <f>E13</f>
        <v>4.2426406871193673E-3</v>
      </c>
      <c r="S3" s="51">
        <f>D19</f>
        <v>0.72700000000000009</v>
      </c>
      <c r="T3" s="41">
        <f>E19</f>
        <v>5.5154328932550678E-2</v>
      </c>
      <c r="U3" s="51">
        <f>D22</f>
        <v>0.72166666666666668</v>
      </c>
      <c r="V3" s="41">
        <f>E22</f>
        <v>9.2993786711883894E-2</v>
      </c>
      <c r="W3" s="51">
        <f>D25</f>
        <v>0.67566666666666675</v>
      </c>
      <c r="X3" s="41">
        <f>E25</f>
        <v>3.8552993831002691E-2</v>
      </c>
      <c r="Z3" s="48">
        <f>Entry!D11</f>
        <v>1.0541666666686069</v>
      </c>
      <c r="AA3" s="43">
        <f>Entry!D17</f>
        <v>1.0541666666686069</v>
      </c>
      <c r="AB3" s="43">
        <f>Entry!D14</f>
        <v>1.0541666666686069</v>
      </c>
      <c r="AC3" s="43">
        <f>Entry!D20</f>
        <v>1.0541666666686069</v>
      </c>
      <c r="AD3" s="43">
        <f>Entry!D23</f>
        <v>1.0541666666686069</v>
      </c>
      <c r="AE3" s="43">
        <f>Entry!D26</f>
        <v>1.0541666666686069</v>
      </c>
    </row>
    <row r="4" spans="1:31">
      <c r="A4">
        <f>Entry!B5</f>
        <v>54</v>
      </c>
      <c r="B4" t="str">
        <f>Entry!A5</f>
        <v>control 3</v>
      </c>
      <c r="C4">
        <f>Results!K4</f>
        <v>1.1383000000000001</v>
      </c>
      <c r="D4">
        <f>AVERAGE(C2:C4)</f>
        <v>1.1816333333333333</v>
      </c>
      <c r="E4">
        <f>_xlfn.STDEV.S(C2:C4)</f>
        <v>4.0414518843273843E-2</v>
      </c>
      <c r="F4">
        <f>Results!P4</f>
        <v>0.17045570959999967</v>
      </c>
      <c r="G4">
        <f>AVERAGE(F2:F4)</f>
        <v>0.18636895226666642</v>
      </c>
      <c r="H4">
        <f>_xlfn.STDEV.S(F2:F4)</f>
        <v>2.0259929415612086E-2</v>
      </c>
      <c r="I4">
        <f>G4/D4</f>
        <v>0.1577214750204517</v>
      </c>
      <c r="J4">
        <f>(SQRT((E4/D4)^2+(H4/G4)^2))*I4</f>
        <v>1.797428331759917E-2</v>
      </c>
      <c r="M4" s="51">
        <f>D28</f>
        <v>0.69966666666666677</v>
      </c>
      <c r="N4" s="41">
        <f>E28</f>
        <v>9.6572943070682718E-2</v>
      </c>
      <c r="O4" s="51">
        <f>D34</f>
        <v>0.82933333333333348</v>
      </c>
      <c r="P4" s="41">
        <f>E34</f>
        <v>5.608327142146162E-2</v>
      </c>
      <c r="Q4" s="51">
        <f>D31</f>
        <v>0.89100000000000001</v>
      </c>
      <c r="R4" s="41">
        <f>E31</f>
        <v>4.689349635077341E-2</v>
      </c>
      <c r="S4" s="51">
        <f>D37</f>
        <v>0.66733333333333344</v>
      </c>
      <c r="T4" s="41">
        <f>E37</f>
        <v>1.8770544300401468E-2</v>
      </c>
      <c r="U4" s="51">
        <f>D40</f>
        <v>0.74199999999999999</v>
      </c>
      <c r="V4" s="41">
        <f>E40</f>
        <v>5.2848841046895238E-2</v>
      </c>
      <c r="W4" s="51">
        <f>D43</f>
        <v>0.65966666666666673</v>
      </c>
      <c r="X4" s="41">
        <f>E43</f>
        <v>1.703917055884276E-2</v>
      </c>
      <c r="Z4" s="43">
        <f>Entry!D29</f>
        <v>2.0645833333328483</v>
      </c>
      <c r="AA4" s="43">
        <f>Entry!D35</f>
        <v>2.1062499999970896</v>
      </c>
      <c r="AB4" s="43">
        <f>Entry!D32</f>
        <v>2.0854166666686069</v>
      </c>
      <c r="AC4" s="43">
        <f>Entry!D38</f>
        <v>2.1270833333328483</v>
      </c>
      <c r="AD4" s="43">
        <f>Entry!D41</f>
        <v>2.1444444444423425</v>
      </c>
      <c r="AE4" s="43">
        <f>Entry!D44</f>
        <v>2.1652777777781012</v>
      </c>
    </row>
    <row r="5" spans="1:31">
      <c r="A5">
        <f>Entry!B6</f>
        <v>57</v>
      </c>
      <c r="B5" t="str">
        <f>Entry!A6</f>
        <v>SAMW 4</v>
      </c>
      <c r="C5">
        <f>Results!K5</f>
        <v>0.88500000000000023</v>
      </c>
      <c r="F5">
        <f>Results!P5</f>
        <v>0.10737551199999976</v>
      </c>
      <c r="M5" s="51">
        <f>D46</f>
        <v>0.74816666666666665</v>
      </c>
      <c r="N5" s="41">
        <f>E46</f>
        <v>9.6572943070682718E-2</v>
      </c>
      <c r="O5" s="51">
        <f>D52</f>
        <v>0.82933333333333348</v>
      </c>
      <c r="P5" s="41">
        <f>E52</f>
        <v>5.608327142146162E-2</v>
      </c>
      <c r="Q5" s="51">
        <f>D49</f>
        <v>0.89100000000000001</v>
      </c>
      <c r="R5" s="41">
        <f>E49</f>
        <v>4.689349635077341E-2</v>
      </c>
      <c r="S5" s="51">
        <f>D55</f>
        <v>0.66733333333333344</v>
      </c>
      <c r="T5" s="41">
        <f>E55</f>
        <v>1.8770544300401468E-2</v>
      </c>
      <c r="U5" s="51">
        <f>D58</f>
        <v>0.74199999999999999</v>
      </c>
      <c r="V5" s="41">
        <f>E58</f>
        <v>5.2848841046895238E-2</v>
      </c>
      <c r="W5" s="51">
        <f>D61</f>
        <v>0.65966666666666673</v>
      </c>
      <c r="X5" s="41">
        <f>E61</f>
        <v>1.703917055884276E-2</v>
      </c>
      <c r="Z5" s="43">
        <f>Entry!D47</f>
        <v>5.0645833333328483</v>
      </c>
      <c r="AA5" s="43">
        <f>Entry!D53</f>
        <v>5.1062499999970896</v>
      </c>
      <c r="AB5" s="43">
        <f>Entry!D50</f>
        <v>5.0854166666686069</v>
      </c>
      <c r="AC5" s="43">
        <f>Entry!D56</f>
        <v>5.1270833333328483</v>
      </c>
      <c r="AD5" s="43">
        <f>Entry!D59</f>
        <v>5.1444444444423425</v>
      </c>
      <c r="AE5" s="43">
        <f>Entry!D62</f>
        <v>5.1652777777781012</v>
      </c>
    </row>
    <row r="6" spans="1:31">
      <c r="A6">
        <f>Entry!B7</f>
        <v>58</v>
      </c>
      <c r="B6" t="str">
        <f>Entry!A7</f>
        <v>SAMW 5</v>
      </c>
      <c r="C6">
        <f>Results!K6</f>
        <v>0.63400000000000001</v>
      </c>
      <c r="F6">
        <f>Results!P6</f>
        <v>-8.4283167999999867E-2</v>
      </c>
    </row>
    <row r="7" spans="1:31">
      <c r="A7">
        <f>Entry!B8</f>
        <v>59</v>
      </c>
      <c r="B7" t="str">
        <f>Entry!A8</f>
        <v>SAMW 6</v>
      </c>
      <c r="C7">
        <f>Results!K7</f>
        <v>0.79099999999999993</v>
      </c>
      <c r="D7">
        <f>AVERAGE(C5:C7)</f>
        <v>0.77</v>
      </c>
      <c r="E7">
        <f>_xlfn.STDEV.S(C5:C7)</f>
        <v>0.12681088281374053</v>
      </c>
      <c r="F7">
        <f>Results!P7</f>
        <v>2.542490400000031E-2</v>
      </c>
      <c r="G7">
        <f>AVERAGE(F5:F7)</f>
        <v>1.6172416000000068E-2</v>
      </c>
      <c r="H7">
        <f>_xlfn.STDEV.S(F5:F7)</f>
        <v>9.6163760354294456E-2</v>
      </c>
      <c r="I7">
        <f t="shared" ref="I7:I61" si="0">G7/D7</f>
        <v>2.1003137662337749E-2</v>
      </c>
      <c r="J7">
        <f>(SQRT((E7/D7)^2+(H7/G7)^2))*I7</f>
        <v>0.12493589279243436</v>
      </c>
    </row>
    <row r="8" spans="1:31">
      <c r="A8">
        <f>Entry!B9</f>
        <v>77</v>
      </c>
      <c r="B8" t="str">
        <f>Entry!A9</f>
        <v>control 1</v>
      </c>
      <c r="C8" t="s">
        <v>103</v>
      </c>
      <c r="F8">
        <f>Results!P8</f>
        <v>1.6327920000000006E-2</v>
      </c>
    </row>
    <row r="9" spans="1:31">
      <c r="A9">
        <f>Entry!B10</f>
        <v>78</v>
      </c>
      <c r="B9" t="str">
        <f>Entry!A10</f>
        <v>control 2</v>
      </c>
      <c r="C9">
        <f>Results!K9</f>
        <v>0.90399999999999991</v>
      </c>
      <c r="F9">
        <f>Results!P9</f>
        <v>0.12766878400000012</v>
      </c>
    </row>
    <row r="10" spans="1:31">
      <c r="A10">
        <f>Entry!B11</f>
        <v>79</v>
      </c>
      <c r="B10" t="str">
        <f>Entry!A11</f>
        <v>control 3</v>
      </c>
      <c r="C10">
        <f>Results!K10</f>
        <v>0.86199999999999999</v>
      </c>
      <c r="D10">
        <f>AVERAGE(C8:C10)</f>
        <v>0.88300000000000001</v>
      </c>
      <c r="E10">
        <f>_xlfn.STDEV.S(C8:C10)</f>
        <v>2.9698484809834943E-2</v>
      </c>
      <c r="F10">
        <f>Results!P10</f>
        <v>0.15565950400000014</v>
      </c>
      <c r="G10">
        <f>AVERAGE(F8:F10)</f>
        <v>9.9885402666666748E-2</v>
      </c>
      <c r="H10">
        <f>_xlfn.STDEV.S(F8:F10)</f>
        <v>7.3703865459840964E-2</v>
      </c>
      <c r="I10">
        <f t="shared" si="0"/>
        <v>0.1131205013212534</v>
      </c>
      <c r="J10">
        <f>(SQRT((E10/D10)^2+(H10/G10)^2))*I10</f>
        <v>8.3556501531335411E-2</v>
      </c>
      <c r="L10" s="46" t="s">
        <v>90</v>
      </c>
      <c r="M10" s="50" t="s">
        <v>83</v>
      </c>
      <c r="O10" s="50" t="s">
        <v>85</v>
      </c>
      <c r="Q10" s="50" t="s">
        <v>86</v>
      </c>
      <c r="S10" s="50" t="s">
        <v>87</v>
      </c>
      <c r="U10" s="50" t="s">
        <v>88</v>
      </c>
      <c r="W10" s="50" t="s">
        <v>89</v>
      </c>
    </row>
    <row r="11" spans="1:31">
      <c r="A11">
        <f>Entry!B12</f>
        <v>80</v>
      </c>
      <c r="B11" t="str">
        <f>Entry!A12</f>
        <v>NO3 4</v>
      </c>
      <c r="C11">
        <f>Results!K11</f>
        <v>0.88100000000000012</v>
      </c>
      <c r="F11">
        <f>Results!P11</f>
        <v>0.12230389599999983</v>
      </c>
      <c r="M11" s="51">
        <f>G4</f>
        <v>0.18636895226666642</v>
      </c>
      <c r="N11" s="41">
        <f>H4</f>
        <v>2.0259929415612086E-2</v>
      </c>
      <c r="O11" s="51">
        <f>G7</f>
        <v>1.6172416000000068E-2</v>
      </c>
      <c r="P11" s="41">
        <f>H7</f>
        <v>9.6163760354294456E-2</v>
      </c>
      <c r="Q11" s="51">
        <f>D13</f>
        <v>0.87800000000000011</v>
      </c>
      <c r="R11" s="41">
        <f>E13</f>
        <v>4.2426406871193673E-3</v>
      </c>
      <c r="S11" s="51">
        <f>D13</f>
        <v>0.87800000000000011</v>
      </c>
      <c r="T11" s="41">
        <f>E13</f>
        <v>4.2426406871193673E-3</v>
      </c>
      <c r="U11" s="51">
        <f>D13</f>
        <v>0.87800000000000011</v>
      </c>
      <c r="V11" s="41">
        <f>E13</f>
        <v>4.2426406871193673E-3</v>
      </c>
      <c r="W11" s="51">
        <f>D13</f>
        <v>0.87800000000000011</v>
      </c>
      <c r="X11" s="41">
        <f>E13</f>
        <v>4.2426406871193673E-3</v>
      </c>
      <c r="Z11" s="43">
        <f t="shared" ref="Z11:AE11" si="1">Z2</f>
        <v>0</v>
      </c>
      <c r="AA11" s="43">
        <f t="shared" si="1"/>
        <v>9.3055555553291924E-2</v>
      </c>
      <c r="AB11" s="43">
        <f t="shared" si="1"/>
        <v>0</v>
      </c>
      <c r="AC11" s="43">
        <f t="shared" si="1"/>
        <v>0</v>
      </c>
      <c r="AD11" s="43">
        <f t="shared" si="1"/>
        <v>0</v>
      </c>
      <c r="AE11" s="43">
        <f t="shared" si="1"/>
        <v>0</v>
      </c>
    </row>
    <row r="12" spans="1:31">
      <c r="A12">
        <f>Entry!B13</f>
        <v>81</v>
      </c>
      <c r="B12" t="str">
        <f>Entry!A13</f>
        <v>NO3 5</v>
      </c>
      <c r="C12">
        <f>Results!K12</f>
        <v>0.875</v>
      </c>
      <c r="F12">
        <f>Results!P12</f>
        <v>0.14827306400000007</v>
      </c>
      <c r="M12" s="51">
        <f>G10</f>
        <v>9.9885402666666748E-2</v>
      </c>
      <c r="N12" s="41">
        <f>H10</f>
        <v>7.3703865459840964E-2</v>
      </c>
      <c r="O12" s="51">
        <f>G16</f>
        <v>0.13225615200000004</v>
      </c>
      <c r="P12" s="41">
        <f>H16</f>
        <v>3.9856755158524805E-2</v>
      </c>
      <c r="Q12" s="51">
        <f>G13</f>
        <v>0.1136993413333333</v>
      </c>
      <c r="R12" s="41">
        <f>H13</f>
        <v>3.9583735886835447E-2</v>
      </c>
      <c r="S12" s="51">
        <f>G19</f>
        <v>9.9133800000000091E-2</v>
      </c>
      <c r="T12" s="41">
        <f>H19</f>
        <v>1.5722638708310553E-2</v>
      </c>
      <c r="U12" s="51">
        <f>G22</f>
        <v>0.12442911733333349</v>
      </c>
      <c r="V12" s="41">
        <f>H22</f>
        <v>3.7316837757436182E-2</v>
      </c>
      <c r="W12" s="51">
        <f>G25</f>
        <v>0.10773835466666659</v>
      </c>
      <c r="X12" s="41">
        <f>H25</f>
        <v>1.9876905068569435E-2</v>
      </c>
      <c r="Z12" s="43">
        <f t="shared" ref="Z12:AE14" si="2">Z3</f>
        <v>1.0541666666686069</v>
      </c>
      <c r="AA12" s="43">
        <f t="shared" si="2"/>
        <v>1.0541666666686069</v>
      </c>
      <c r="AB12" s="43">
        <f t="shared" si="2"/>
        <v>1.0541666666686069</v>
      </c>
      <c r="AC12" s="43">
        <f t="shared" si="2"/>
        <v>1.0541666666686069</v>
      </c>
      <c r="AD12" s="43">
        <f t="shared" si="2"/>
        <v>1.0541666666686069</v>
      </c>
      <c r="AE12" s="43">
        <f t="shared" si="2"/>
        <v>1.0541666666686069</v>
      </c>
    </row>
    <row r="13" spans="1:31">
      <c r="A13">
        <f>Entry!B14</f>
        <v>82</v>
      </c>
      <c r="B13" t="str">
        <f>Entry!A14</f>
        <v>NO3 6</v>
      </c>
      <c r="C13" t="s">
        <v>104</v>
      </c>
      <c r="D13">
        <f>AVERAGE(C11:C13)</f>
        <v>0.87800000000000011</v>
      </c>
      <c r="E13">
        <f>_xlfn.STDEV.S(C11:C13)</f>
        <v>4.2426406871193673E-3</v>
      </c>
      <c r="F13">
        <f>Results!P13</f>
        <v>7.0521064000000008E-2</v>
      </c>
      <c r="G13">
        <f>AVERAGE(F11:F13)</f>
        <v>0.1136993413333333</v>
      </c>
      <c r="H13">
        <f>_xlfn.STDEV.S(F11:F13)</f>
        <v>3.9583735886835447E-2</v>
      </c>
      <c r="I13">
        <f t="shared" si="0"/>
        <v>0.12949811085801058</v>
      </c>
      <c r="J13">
        <f>(SQRT((E13/D13)^2+(H13/G13)^2))*I13</f>
        <v>4.5088324121248503E-2</v>
      </c>
      <c r="M13" s="51">
        <f>G28</f>
        <v>0.11473603466666682</v>
      </c>
      <c r="N13" s="41">
        <f>H28</f>
        <v>8.3293890205947876E-3</v>
      </c>
      <c r="O13" s="51">
        <f>G34</f>
        <v>0.10589822400000019</v>
      </c>
      <c r="P13" s="41">
        <f>H34</f>
        <v>2.0682032000000027E-2</v>
      </c>
      <c r="Q13" s="51">
        <f>G31</f>
        <v>0.11121127733333347</v>
      </c>
      <c r="R13" s="41">
        <f>H31</f>
        <v>1.0846427223392005E-2</v>
      </c>
      <c r="S13" s="51">
        <f>G37</f>
        <v>8.8170768000000135E-2</v>
      </c>
      <c r="T13" s="41">
        <f>H37</f>
        <v>3.9816084834755579E-2</v>
      </c>
      <c r="U13" s="51">
        <f>G40</f>
        <v>8.8481776000000026E-2</v>
      </c>
      <c r="V13" s="41">
        <f>H40</f>
        <v>2.414484423456149E-2</v>
      </c>
      <c r="W13" s="51">
        <f>G43</f>
        <v>3.8694578666666778E-2</v>
      </c>
      <c r="X13" s="41">
        <f>H43</f>
        <v>6.5368318753933063E-2</v>
      </c>
      <c r="Z13" s="43">
        <f t="shared" si="2"/>
        <v>2.0645833333328483</v>
      </c>
      <c r="AA13" s="43">
        <f t="shared" si="2"/>
        <v>2.1062499999970896</v>
      </c>
      <c r="AB13" s="43">
        <f t="shared" si="2"/>
        <v>2.0854166666686069</v>
      </c>
      <c r="AC13" s="43">
        <f t="shared" si="2"/>
        <v>2.1270833333328483</v>
      </c>
      <c r="AD13" s="43">
        <f t="shared" si="2"/>
        <v>2.1444444444423425</v>
      </c>
      <c r="AE13" s="43">
        <f t="shared" si="2"/>
        <v>2.1652777777781012</v>
      </c>
    </row>
    <row r="14" spans="1:31">
      <c r="A14">
        <f>Entry!B15</f>
        <v>83</v>
      </c>
      <c r="B14" t="str">
        <f>Entry!A15</f>
        <v>SAMW 7</v>
      </c>
      <c r="C14" t="s">
        <v>105</v>
      </c>
      <c r="F14">
        <f>Results!P14</f>
        <v>0.17820758400000006</v>
      </c>
      <c r="M14" s="51">
        <f>G46</f>
        <v>0.11473603466666682</v>
      </c>
      <c r="N14" s="41">
        <f>H46</f>
        <v>8.3293890205947876E-3</v>
      </c>
      <c r="O14" s="51">
        <f>G52</f>
        <v>0.10589822400000019</v>
      </c>
      <c r="P14" s="41">
        <f>H52</f>
        <v>2.0682032000000027E-2</v>
      </c>
      <c r="Q14" s="51">
        <f>G49</f>
        <v>0.11121127733333347</v>
      </c>
      <c r="R14" s="41">
        <f>H49</f>
        <v>1.0846427223392005E-2</v>
      </c>
      <c r="S14" s="51">
        <f>G55</f>
        <v>8.8170768000000135E-2</v>
      </c>
      <c r="T14" s="41">
        <f>H55</f>
        <v>3.9816084834755579E-2</v>
      </c>
      <c r="U14" s="51">
        <f>G58</f>
        <v>8.8481776000000026E-2</v>
      </c>
      <c r="V14" s="41">
        <f>H58</f>
        <v>2.414484423456149E-2</v>
      </c>
      <c r="W14" s="51">
        <f>G61</f>
        <v>3.8694578666666778E-2</v>
      </c>
      <c r="X14" s="41">
        <f>H61</f>
        <v>6.5368318753933063E-2</v>
      </c>
      <c r="Z14" s="43">
        <f t="shared" si="2"/>
        <v>5.0645833333328483</v>
      </c>
      <c r="AA14" s="43">
        <f t="shared" si="2"/>
        <v>5.1062499999970896</v>
      </c>
      <c r="AB14" s="43">
        <f t="shared" si="2"/>
        <v>5.0854166666686069</v>
      </c>
      <c r="AC14" s="43">
        <f t="shared" si="2"/>
        <v>5.1270833333328483</v>
      </c>
      <c r="AD14" s="43">
        <f t="shared" si="2"/>
        <v>5.1444444444423425</v>
      </c>
      <c r="AE14" s="43">
        <f t="shared" si="2"/>
        <v>5.1652777777781012</v>
      </c>
    </row>
    <row r="15" spans="1:31">
      <c r="A15">
        <f>Entry!B16</f>
        <v>84</v>
      </c>
      <c r="B15" t="str">
        <f>Entry!A16</f>
        <v>SAMW 8</v>
      </c>
      <c r="C15">
        <f>Results!K15</f>
        <v>0.7320000000000001</v>
      </c>
      <c r="F15">
        <f>Results!P15</f>
        <v>0.11149636799999998</v>
      </c>
    </row>
    <row r="16" spans="1:31">
      <c r="A16">
        <f>Entry!B17</f>
        <v>85</v>
      </c>
      <c r="B16" t="str">
        <f>Entry!A17</f>
        <v>SAMW 9</v>
      </c>
      <c r="C16">
        <f>Results!K16</f>
        <v>0.70300000000000007</v>
      </c>
      <c r="D16">
        <f>AVERAGE(C14:C16)</f>
        <v>0.71750000000000003</v>
      </c>
      <c r="E16">
        <f>_xlfn.STDEV.S(C14:C16)</f>
        <v>2.0506096654409896E-2</v>
      </c>
      <c r="F16">
        <f>Results!P16</f>
        <v>0.10706450400000012</v>
      </c>
      <c r="G16">
        <f>AVERAGE(F14:F16)</f>
        <v>0.13225615200000004</v>
      </c>
      <c r="H16">
        <f>_xlfn.STDEV.S(F14:F16)</f>
        <v>3.9856755158524805E-2</v>
      </c>
      <c r="I16">
        <f t="shared" si="0"/>
        <v>0.18432913170731713</v>
      </c>
      <c r="J16">
        <f>(SQRT((E16/D16)^2+(H16/G16)^2))*I16</f>
        <v>5.5798729789636549E-2</v>
      </c>
    </row>
    <row r="17" spans="1:31">
      <c r="A17">
        <f>Entry!B18</f>
        <v>86</v>
      </c>
      <c r="B17" t="str">
        <f>Entry!A18</f>
        <v>Si 10</v>
      </c>
      <c r="C17">
        <f>Results!K17</f>
        <v>0.76600000000000001</v>
      </c>
      <c r="F17">
        <f>Results!P17</f>
        <v>0.11693900800000023</v>
      </c>
    </row>
    <row r="18" spans="1:31">
      <c r="A18">
        <f>Entry!B19</f>
        <v>87</v>
      </c>
      <c r="B18" t="str">
        <f>Entry!A19</f>
        <v>Si 11</v>
      </c>
      <c r="C18" t="s">
        <v>102</v>
      </c>
      <c r="F18">
        <f>Results!P18</f>
        <v>8.7159991999999908E-2</v>
      </c>
    </row>
    <row r="19" spans="1:31">
      <c r="A19">
        <f>Entry!B20</f>
        <v>88</v>
      </c>
      <c r="B19" t="str">
        <f>Entry!A20</f>
        <v>Si 12</v>
      </c>
      <c r="C19">
        <f>Results!K19</f>
        <v>0.68800000000000006</v>
      </c>
      <c r="D19">
        <f>AVERAGE(C17:C19)</f>
        <v>0.72700000000000009</v>
      </c>
      <c r="E19">
        <f>_xlfn.STDEV.S(C17:C19)</f>
        <v>5.5154328932550678E-2</v>
      </c>
      <c r="F19">
        <f>Results!P19</f>
        <v>9.3302400000000091E-2</v>
      </c>
      <c r="G19">
        <f>AVERAGE(F17:F19)</f>
        <v>9.9133800000000091E-2</v>
      </c>
      <c r="H19">
        <f>_xlfn.STDEV.S(F17:F19)</f>
        <v>1.5722638708310553E-2</v>
      </c>
      <c r="I19">
        <f t="shared" si="0"/>
        <v>0.13636011004126558</v>
      </c>
      <c r="J19">
        <f>(SQRT((E19/D19)^2+(H19/G19)^2))*I19</f>
        <v>2.397364884129867E-2</v>
      </c>
      <c r="L19" s="47" t="s">
        <v>91</v>
      </c>
      <c r="M19" s="50" t="s">
        <v>83</v>
      </c>
      <c r="O19" s="50" t="s">
        <v>85</v>
      </c>
      <c r="Q19" s="50" t="s">
        <v>86</v>
      </c>
      <c r="S19" s="50" t="s">
        <v>87</v>
      </c>
      <c r="U19" s="50" t="s">
        <v>88</v>
      </c>
      <c r="W19" s="50" t="s">
        <v>89</v>
      </c>
    </row>
    <row r="20" spans="1:31">
      <c r="A20">
        <f>Entry!B21</f>
        <v>89</v>
      </c>
      <c r="B20" t="str">
        <f>Entry!A21</f>
        <v>Fe + Si 13</v>
      </c>
      <c r="C20">
        <f>Results!K20</f>
        <v>0.71300000000000008</v>
      </c>
      <c r="F20">
        <f>Results!P20</f>
        <v>0.13412220000000008</v>
      </c>
      <c r="M20" s="51">
        <f>I4</f>
        <v>0.1577214750204517</v>
      </c>
      <c r="N20" s="41">
        <f>J4</f>
        <v>1.797428331759917E-2</v>
      </c>
      <c r="O20" s="51">
        <f>I7</f>
        <v>2.1003137662337749E-2</v>
      </c>
      <c r="P20" s="41">
        <f>J7</f>
        <v>0.12493589279243436</v>
      </c>
      <c r="Q20" s="51">
        <f>D22</f>
        <v>0.72166666666666668</v>
      </c>
      <c r="R20" s="41">
        <f>E22</f>
        <v>9.2993786711883894E-2</v>
      </c>
      <c r="S20" s="51">
        <f>D22</f>
        <v>0.72166666666666668</v>
      </c>
      <c r="T20" s="41">
        <f>E22</f>
        <v>9.2993786711883894E-2</v>
      </c>
      <c r="U20" s="51">
        <f>D22</f>
        <v>0.72166666666666668</v>
      </c>
      <c r="V20" s="41">
        <f>E22</f>
        <v>9.2993786711883894E-2</v>
      </c>
      <c r="W20" s="51">
        <f>D22</f>
        <v>0.72166666666666668</v>
      </c>
      <c r="X20" s="41">
        <f>E22</f>
        <v>9.2993786711883894E-2</v>
      </c>
      <c r="Z20" s="43">
        <f t="shared" ref="Z20:AE20" si="3">Z2</f>
        <v>0</v>
      </c>
      <c r="AA20" s="43">
        <f t="shared" si="3"/>
        <v>9.3055555553291924E-2</v>
      </c>
      <c r="AB20" s="43">
        <f t="shared" si="3"/>
        <v>0</v>
      </c>
      <c r="AC20" s="43">
        <f t="shared" si="3"/>
        <v>0</v>
      </c>
      <c r="AD20" s="43">
        <f t="shared" si="3"/>
        <v>0</v>
      </c>
      <c r="AE20" s="43">
        <f t="shared" si="3"/>
        <v>0</v>
      </c>
    </row>
    <row r="21" spans="1:31">
      <c r="A21">
        <f>Entry!B22</f>
        <v>90</v>
      </c>
      <c r="B21" t="str">
        <f>Entry!A22</f>
        <v>Fe + Si 14</v>
      </c>
      <c r="C21">
        <f>Results!K21</f>
        <v>0.746</v>
      </c>
      <c r="F21">
        <f>Results!P21</f>
        <v>0.13793204800000017</v>
      </c>
      <c r="M21" s="51">
        <f>I10</f>
        <v>0.1131205013212534</v>
      </c>
      <c r="N21" s="41">
        <f>J10</f>
        <v>8.3556501531335411E-2</v>
      </c>
      <c r="O21" s="51">
        <f>I16</f>
        <v>0.18432913170731713</v>
      </c>
      <c r="P21" s="41">
        <f>J16</f>
        <v>5.5798729789636549E-2</v>
      </c>
      <c r="Q21" s="51">
        <f>I13</f>
        <v>0.12949811085801058</v>
      </c>
      <c r="R21" s="41">
        <f>J13</f>
        <v>4.5088324121248503E-2</v>
      </c>
      <c r="S21" s="51">
        <f>I19</f>
        <v>0.13636011004126558</v>
      </c>
      <c r="T21" s="41">
        <f>J19</f>
        <v>2.397364884129867E-2</v>
      </c>
      <c r="U21" s="51">
        <f>I22</f>
        <v>0.17241910023094709</v>
      </c>
      <c r="V21" s="41">
        <f>J22</f>
        <v>5.6280371425730065E-2</v>
      </c>
      <c r="W21" s="51">
        <f>I25</f>
        <v>0.15945489097187948</v>
      </c>
      <c r="X21" s="41">
        <f>J25</f>
        <v>3.0793042520428745E-2</v>
      </c>
      <c r="Z21" s="43">
        <f t="shared" ref="Z21:AE23" si="4">Z3</f>
        <v>1.0541666666686069</v>
      </c>
      <c r="AA21" s="43">
        <f t="shared" si="4"/>
        <v>1.0541666666686069</v>
      </c>
      <c r="AB21" s="43">
        <f t="shared" si="4"/>
        <v>1.0541666666686069</v>
      </c>
      <c r="AC21" s="43">
        <f t="shared" si="4"/>
        <v>1.0541666666686069</v>
      </c>
      <c r="AD21" s="43">
        <f t="shared" si="4"/>
        <v>1.0541666666686069</v>
      </c>
      <c r="AE21" s="43">
        <f t="shared" si="4"/>
        <v>1.0541666666686069</v>
      </c>
    </row>
    <row r="22" spans="1:31">
      <c r="A22">
        <f>Entry!B23</f>
        <v>91</v>
      </c>
      <c r="B22" t="str">
        <f>Entry!A23</f>
        <v>Fe + Si 15</v>
      </c>
      <c r="C22">
        <f>Results!K22</f>
        <v>0.70599999999999996</v>
      </c>
      <c r="D22">
        <f>AVERAGE(C20:C22)</f>
        <v>0.72166666666666668</v>
      </c>
      <c r="E22">
        <f>_xlfn.STDEV.S(C20:C220)</f>
        <v>9.2993786711883894E-2</v>
      </c>
      <c r="F22">
        <f>Results!P22</f>
        <v>0.10123310400000025</v>
      </c>
      <c r="G22">
        <f>AVERAGE(F20:F22)</f>
        <v>0.12442911733333349</v>
      </c>
      <c r="H22">
        <f>_xlfn.STDEV.S(F20:F220)</f>
        <v>3.7316837757436182E-2</v>
      </c>
      <c r="I22">
        <f t="shared" si="0"/>
        <v>0.17241910023094709</v>
      </c>
      <c r="J22">
        <f>(SQRT((E22/D22)^2+(H22/G22)^2))*I22</f>
        <v>5.6280371425730065E-2</v>
      </c>
      <c r="M22" s="51">
        <f>I28</f>
        <v>0.16398670986183916</v>
      </c>
      <c r="N22" s="41">
        <f>J28</f>
        <v>2.5574392480255458E-2</v>
      </c>
      <c r="O22" s="51">
        <f>I34</f>
        <v>0.12769078456591662</v>
      </c>
      <c r="P22" s="41">
        <f>J34</f>
        <v>2.6390805534957752E-2</v>
      </c>
      <c r="Q22" s="51">
        <f>I31</f>
        <v>0.12481624841002634</v>
      </c>
      <c r="R22" s="41">
        <f>J31</f>
        <v>1.3832671557412017E-2</v>
      </c>
      <c r="S22" s="51">
        <f>I37</f>
        <v>0.13212402797202816</v>
      </c>
      <c r="T22" s="41">
        <f>J37</f>
        <v>5.97800914119761E-2</v>
      </c>
      <c r="U22" s="51">
        <f>I40</f>
        <v>0.11924767654986526</v>
      </c>
      <c r="V22" s="41">
        <f>J40</f>
        <v>3.3630400216958428E-2</v>
      </c>
      <c r="W22" s="51">
        <f>I43</f>
        <v>5.8657774633653521E-2</v>
      </c>
      <c r="X22" s="41">
        <f>J43</f>
        <v>9.9104536610153338E-2</v>
      </c>
      <c r="Z22" s="43">
        <f t="shared" si="4"/>
        <v>2.0645833333328483</v>
      </c>
      <c r="AA22" s="43">
        <f t="shared" si="4"/>
        <v>2.1062499999970896</v>
      </c>
      <c r="AB22" s="43">
        <f t="shared" si="4"/>
        <v>2.0854166666686069</v>
      </c>
      <c r="AC22" s="43">
        <f t="shared" si="4"/>
        <v>2.1270833333328483</v>
      </c>
      <c r="AD22" s="43">
        <f t="shared" si="4"/>
        <v>2.1444444444423425</v>
      </c>
      <c r="AE22" s="43">
        <f t="shared" si="4"/>
        <v>2.1652777777781012</v>
      </c>
    </row>
    <row r="23" spans="1:31">
      <c r="A23">
        <f>Entry!B24</f>
        <v>92</v>
      </c>
      <c r="B23" t="str">
        <f>Entry!A24</f>
        <v>Fe 16</v>
      </c>
      <c r="C23">
        <f>Results!K23</f>
        <v>0.71300000000000008</v>
      </c>
      <c r="F23">
        <f>Results!P23</f>
        <v>9.4779687999999918E-2</v>
      </c>
      <c r="M23" s="51">
        <f>I46</f>
        <v>0.15335625038984205</v>
      </c>
      <c r="N23" s="41">
        <f>J46</f>
        <v>2.2711071272765639E-2</v>
      </c>
      <c r="O23" s="51">
        <f>I52</f>
        <v>0.12769078456591662</v>
      </c>
      <c r="P23" s="41">
        <f>J52</f>
        <v>2.6390805534957752E-2</v>
      </c>
      <c r="Q23" s="51">
        <f>I49</f>
        <v>0.12481624841002634</v>
      </c>
      <c r="R23" s="41">
        <f>J49</f>
        <v>1.3832671557412017E-2</v>
      </c>
      <c r="S23" s="51">
        <f>I55</f>
        <v>0.13212402797202816</v>
      </c>
      <c r="T23" s="41">
        <f>J55</f>
        <v>5.97800914119761E-2</v>
      </c>
      <c r="U23" s="51">
        <f>I58</f>
        <v>0.11924767654986526</v>
      </c>
      <c r="V23" s="41">
        <f>J58</f>
        <v>3.3630400216958428E-2</v>
      </c>
      <c r="W23" s="51">
        <f>I61</f>
        <v>5.8657774633653521E-2</v>
      </c>
      <c r="X23" s="41">
        <f>J61</f>
        <v>9.9104536610153338E-2</v>
      </c>
      <c r="Z23" s="43">
        <f t="shared" si="4"/>
        <v>5.0645833333328483</v>
      </c>
      <c r="AA23" s="43">
        <f t="shared" si="4"/>
        <v>5.1062499999970896</v>
      </c>
      <c r="AB23" s="43">
        <f t="shared" si="4"/>
        <v>5.0854166666686069</v>
      </c>
      <c r="AC23" s="43">
        <f t="shared" si="4"/>
        <v>5.1270833333328483</v>
      </c>
      <c r="AD23" s="43">
        <f t="shared" si="4"/>
        <v>5.1444444444423425</v>
      </c>
      <c r="AE23" s="43">
        <f t="shared" si="4"/>
        <v>5.1652777777781012</v>
      </c>
    </row>
    <row r="24" spans="1:31">
      <c r="A24">
        <f>Entry!B25</f>
        <v>93</v>
      </c>
      <c r="B24" t="str">
        <f>Entry!A25</f>
        <v>Fe 17</v>
      </c>
      <c r="C24">
        <f>Results!K24</f>
        <v>0.63600000000000012</v>
      </c>
      <c r="F24">
        <f>Results!P24</f>
        <v>9.7812015999999946E-2</v>
      </c>
    </row>
    <row r="25" spans="1:31">
      <c r="A25">
        <f>Entry!B26</f>
        <v>94</v>
      </c>
      <c r="B25" t="str">
        <f>Entry!A26</f>
        <v>Fe 18</v>
      </c>
      <c r="C25">
        <f>Results!K25</f>
        <v>0.67800000000000005</v>
      </c>
      <c r="D25">
        <f>AVERAGE(C23:C25)</f>
        <v>0.67566666666666675</v>
      </c>
      <c r="E25">
        <f>_xlfn.STDEV.S(C23:C25)</f>
        <v>3.8552993831002691E-2</v>
      </c>
      <c r="F25">
        <f>Results!P25</f>
        <v>0.13062335999999994</v>
      </c>
      <c r="G25">
        <f>AVERAGE(F23:F25)</f>
        <v>0.10773835466666659</v>
      </c>
      <c r="H25">
        <f>_xlfn.STDEV.S(F23:F25)</f>
        <v>1.9876905068569435E-2</v>
      </c>
      <c r="I25">
        <f t="shared" si="0"/>
        <v>0.15945489097187948</v>
      </c>
      <c r="J25">
        <f>(SQRT((E25/D25)^2+(H25/G25)^2))*I25</f>
        <v>3.0793042520428745E-2</v>
      </c>
    </row>
    <row r="26" spans="1:31">
      <c r="A26">
        <f>Entry!B27</f>
        <v>110</v>
      </c>
      <c r="B26" t="str">
        <f>Entry!A27</f>
        <v>control 1</v>
      </c>
      <c r="C26">
        <f>Results!K26</f>
        <v>0.70400000000000007</v>
      </c>
      <c r="F26">
        <f>Results!P26</f>
        <v>0.10512070400000016</v>
      </c>
      <c r="L26" s="49" t="s">
        <v>93</v>
      </c>
    </row>
    <row r="27" spans="1:31">
      <c r="A27">
        <f>Entry!B28</f>
        <v>111</v>
      </c>
      <c r="B27" t="str">
        <f>Entry!A28</f>
        <v>control 2</v>
      </c>
      <c r="C27">
        <f>Results!K27</f>
        <v>0.60099999999999998</v>
      </c>
      <c r="F27">
        <f>Results!P27</f>
        <v>0.11934932000000015</v>
      </c>
    </row>
    <row r="28" spans="1:31">
      <c r="A28">
        <f>Entry!B29</f>
        <v>112</v>
      </c>
      <c r="B28" t="str">
        <f>Entry!A29</f>
        <v>control 3</v>
      </c>
      <c r="C28">
        <f>Results!K28</f>
        <v>0.79400000000000004</v>
      </c>
      <c r="D28">
        <f>AVERAGE(C26:C28)</f>
        <v>0.69966666666666677</v>
      </c>
      <c r="E28">
        <f>_xlfn.STDEV.S(C26:C28)</f>
        <v>9.6572943070682718E-2</v>
      </c>
      <c r="F28">
        <f>Results!P28</f>
        <v>0.11973808000000011</v>
      </c>
      <c r="G28">
        <f>AVERAGE(F26:F28)</f>
        <v>0.11473603466666682</v>
      </c>
      <c r="H28">
        <f>_xlfn.STDEV.S(F26:F28)</f>
        <v>8.3293890205947876E-3</v>
      </c>
      <c r="I28">
        <f t="shared" si="0"/>
        <v>0.16398670986183916</v>
      </c>
      <c r="J28">
        <f>(SQRT((E28/D28)^2+(H28/G28)^2))*I28</f>
        <v>2.5574392480255458E-2</v>
      </c>
    </row>
    <row r="29" spans="1:31">
      <c r="A29">
        <f>Entry!B30</f>
        <v>113</v>
      </c>
      <c r="B29" t="str">
        <f>Entry!A30</f>
        <v>NO3 4</v>
      </c>
      <c r="C29">
        <f>Results!K29</f>
        <v>0.84800000000000009</v>
      </c>
      <c r="F29">
        <f>Results!P29</f>
        <v>0.10418768000000028</v>
      </c>
    </row>
    <row r="30" spans="1:31">
      <c r="A30">
        <f>Entry!B31</f>
        <v>114</v>
      </c>
      <c r="B30" t="str">
        <f>Entry!A31</f>
        <v>NO3 5</v>
      </c>
      <c r="C30">
        <f>Results!K30</f>
        <v>0.88400000000000001</v>
      </c>
      <c r="F30">
        <f>Results!P30</f>
        <v>0.1057427200000001</v>
      </c>
    </row>
    <row r="31" spans="1:31">
      <c r="A31">
        <f>Entry!B32</f>
        <v>115</v>
      </c>
      <c r="B31" t="str">
        <f>Entry!A32</f>
        <v>NO3 6</v>
      </c>
      <c r="C31">
        <f>Results!K31</f>
        <v>0.94100000000000006</v>
      </c>
      <c r="D31">
        <f>AVERAGE(C29:C31)</f>
        <v>0.89100000000000001</v>
      </c>
      <c r="E31">
        <f>_xlfn.STDEV.S(C29:C31)</f>
        <v>4.689349635077341E-2</v>
      </c>
      <c r="F31">
        <f>Results!P31</f>
        <v>0.12370343200000003</v>
      </c>
      <c r="G31">
        <f>AVERAGE(F29:F31)</f>
        <v>0.11121127733333347</v>
      </c>
      <c r="H31">
        <f>_xlfn.STDEV.S(F29:F31)</f>
        <v>1.0846427223392005E-2</v>
      </c>
      <c r="I31">
        <f t="shared" si="0"/>
        <v>0.12481624841002634</v>
      </c>
      <c r="J31">
        <f>(SQRT((E31/D31)^2+(H31/G31)^2))*I31</f>
        <v>1.3832671557412017E-2</v>
      </c>
    </row>
    <row r="32" spans="1:31">
      <c r="A32">
        <f>Entry!B33</f>
        <v>116</v>
      </c>
      <c r="B32" t="str">
        <f>Entry!A33</f>
        <v>SAMW 7</v>
      </c>
      <c r="C32">
        <f>Results!K32</f>
        <v>0.84200000000000008</v>
      </c>
      <c r="F32">
        <f>Results!P32</f>
        <v>8.3661152000000114E-2</v>
      </c>
    </row>
    <row r="33" spans="1:10">
      <c r="A33">
        <f>Entry!B34</f>
        <v>117</v>
      </c>
      <c r="B33" t="str">
        <f>Entry!A34</f>
        <v>SAMW 8</v>
      </c>
      <c r="C33">
        <f>Results!K33</f>
        <v>0.878</v>
      </c>
      <c r="F33">
        <f>Results!P33</f>
        <v>0.12455870400000009</v>
      </c>
    </row>
    <row r="34" spans="1:10">
      <c r="A34">
        <f>Entry!B35</f>
        <v>118</v>
      </c>
      <c r="B34" t="str">
        <f>Entry!A35</f>
        <v>SAMW 9</v>
      </c>
      <c r="C34">
        <f>Results!K34</f>
        <v>0.76800000000000002</v>
      </c>
      <c r="D34">
        <f>AVERAGE(C32:C34)</f>
        <v>0.82933333333333348</v>
      </c>
      <c r="E34">
        <f>_xlfn.STDEV.S(C32:C34)</f>
        <v>5.608327142146162E-2</v>
      </c>
      <c r="F34">
        <f>Results!P34</f>
        <v>0.10947481600000038</v>
      </c>
      <c r="G34">
        <f>AVERAGE(F32:F34)</f>
        <v>0.10589822400000019</v>
      </c>
      <c r="H34">
        <f>_xlfn.STDEV.S(F32:F34)</f>
        <v>2.0682032000000027E-2</v>
      </c>
      <c r="I34">
        <f t="shared" si="0"/>
        <v>0.12769078456591662</v>
      </c>
      <c r="J34">
        <f>(SQRT((E34/D34)^2+(H34/G34)^2))*I34</f>
        <v>2.6390805534957752E-2</v>
      </c>
    </row>
    <row r="35" spans="1:10">
      <c r="A35">
        <f>Entry!B36</f>
        <v>119</v>
      </c>
      <c r="B35" t="str">
        <f>Entry!A36</f>
        <v>Si 10</v>
      </c>
      <c r="C35">
        <f>Results!K35</f>
        <v>0.65600000000000003</v>
      </c>
      <c r="F35">
        <f>Results!P35</f>
        <v>5.1782832000000167E-2</v>
      </c>
    </row>
    <row r="36" spans="1:10">
      <c r="A36">
        <f>Entry!B37</f>
        <v>120</v>
      </c>
      <c r="B36" t="str">
        <f>Entry!A37</f>
        <v>Si 11</v>
      </c>
      <c r="C36">
        <f>Results!K36</f>
        <v>0.68900000000000006</v>
      </c>
      <c r="F36">
        <f>Results!P36</f>
        <v>0.13070111200000029</v>
      </c>
    </row>
    <row r="37" spans="1:10">
      <c r="A37">
        <f>Entry!B38</f>
        <v>121</v>
      </c>
      <c r="B37" t="str">
        <f>Entry!A38</f>
        <v>Si 12</v>
      </c>
      <c r="C37">
        <f>Results!K37</f>
        <v>0.65700000000000003</v>
      </c>
      <c r="D37">
        <f>AVERAGE(C35:C37)</f>
        <v>0.66733333333333344</v>
      </c>
      <c r="E37">
        <f>_xlfn.STDEV.S(C35:C37)</f>
        <v>1.8770544300401468E-2</v>
      </c>
      <c r="F37">
        <f>Results!P37</f>
        <v>8.2028359999999953E-2</v>
      </c>
      <c r="G37">
        <f>AVERAGE(F35:F37)</f>
        <v>8.8170768000000135E-2</v>
      </c>
      <c r="H37">
        <f>_xlfn.STDEV.S(F35:F37)</f>
        <v>3.9816084834755579E-2</v>
      </c>
      <c r="I37">
        <f t="shared" si="0"/>
        <v>0.13212402797202816</v>
      </c>
      <c r="J37">
        <f>(SQRT((E37/D37)^2+(H37/G37)^2))*I37</f>
        <v>5.97800914119761E-2</v>
      </c>
    </row>
    <row r="38" spans="1:10">
      <c r="A38">
        <f>Entry!B39</f>
        <v>122</v>
      </c>
      <c r="B38" t="str">
        <f>Entry!A39</f>
        <v>Fe + Si 13</v>
      </c>
      <c r="C38">
        <f>Results!K38</f>
        <v>0.68600000000000005</v>
      </c>
      <c r="F38">
        <f>Results!P38</f>
        <v>9.7189999999999999E-2</v>
      </c>
    </row>
    <row r="39" spans="1:10">
      <c r="A39">
        <f>Entry!B40</f>
        <v>123</v>
      </c>
      <c r="B39" t="str">
        <f>Entry!A40</f>
        <v>Fe + Si 14</v>
      </c>
      <c r="C39">
        <f>Results!K39</f>
        <v>0.79100000000000004</v>
      </c>
      <c r="F39">
        <f>Results!P39</f>
        <v>6.1190823999999991E-2</v>
      </c>
    </row>
    <row r="40" spans="1:10">
      <c r="A40">
        <f>Entry!B41</f>
        <v>124</v>
      </c>
      <c r="B40" t="str">
        <f>Entry!A41</f>
        <v>Fe + Si 15</v>
      </c>
      <c r="C40">
        <f>Results!K40</f>
        <v>0.74900000000000011</v>
      </c>
      <c r="D40">
        <f>AVERAGE(C38:C40)</f>
        <v>0.74199999999999999</v>
      </c>
      <c r="E40">
        <f>_xlfn.STDEV.S(C38:C40)</f>
        <v>5.2848841046895238E-2</v>
      </c>
      <c r="F40">
        <f>Results!P40</f>
        <v>0.10706450400000012</v>
      </c>
      <c r="G40">
        <f>AVERAGE(F38:F40)</f>
        <v>8.8481776000000026E-2</v>
      </c>
      <c r="H40">
        <f>_xlfn.STDEV.S(F38:F40)</f>
        <v>2.414484423456149E-2</v>
      </c>
      <c r="I40">
        <f t="shared" si="0"/>
        <v>0.11924767654986526</v>
      </c>
      <c r="J40">
        <f>(SQRT((E40/D40)^2+(H40/G40)^2))*I40</f>
        <v>3.3630400216958428E-2</v>
      </c>
    </row>
    <row r="41" spans="1:10">
      <c r="A41">
        <f>Entry!B42</f>
        <v>125</v>
      </c>
      <c r="B41" t="str">
        <f>Entry!A42</f>
        <v>Fe 16</v>
      </c>
      <c r="C41">
        <f>Results!K41</f>
        <v>0.67600000000000005</v>
      </c>
      <c r="F41">
        <f>Results!P41</f>
        <v>9.3302400000001822E-3</v>
      </c>
    </row>
    <row r="42" spans="1:10">
      <c r="A42">
        <f>Entry!B43</f>
        <v>126</v>
      </c>
      <c r="B42" t="str">
        <f>Entry!A43</f>
        <v>Fe 17</v>
      </c>
      <c r="C42">
        <f>Results!K42</f>
        <v>0.66100000000000003</v>
      </c>
      <c r="F42">
        <f>Results!P42</f>
        <v>0.11359567200000009</v>
      </c>
    </row>
    <row r="43" spans="1:10">
      <c r="A43">
        <f>Entry!B44</f>
        <v>127</v>
      </c>
      <c r="B43" t="str">
        <f>Entry!A44</f>
        <v>Fe 18</v>
      </c>
      <c r="C43">
        <f>Results!K43</f>
        <v>0.64200000000000002</v>
      </c>
      <c r="D43">
        <f>AVERAGE(C41:C43)</f>
        <v>0.65966666666666673</v>
      </c>
      <c r="E43">
        <f>_xlfn.STDEV.S(C41:C43)</f>
        <v>1.703917055884276E-2</v>
      </c>
      <c r="F43">
        <f>Results!P43</f>
        <v>-6.8421759999999377E-3</v>
      </c>
      <c r="G43">
        <f>AVERAGE(F41:F43)</f>
        <v>3.8694578666666778E-2</v>
      </c>
      <c r="H43">
        <f>_xlfn.STDEV.S(F41:F43)</f>
        <v>6.5368318753933063E-2</v>
      </c>
      <c r="I43">
        <f t="shared" si="0"/>
        <v>5.8657774633653521E-2</v>
      </c>
      <c r="J43">
        <f>(SQRT((E43/D43)^2+(H43/G43)^2))*I43</f>
        <v>9.9104536610153338E-2</v>
      </c>
    </row>
    <row r="44" spans="1:10">
      <c r="A44">
        <f>Entry!B45</f>
        <v>218</v>
      </c>
      <c r="B44" t="str">
        <f>Entry!A45</f>
        <v>control 1</v>
      </c>
      <c r="C44">
        <f>Results!K44</f>
        <v>0.70400000000000007</v>
      </c>
      <c r="F44">
        <f>Results!P44</f>
        <v>0.10512070400000016</v>
      </c>
    </row>
    <row r="45" spans="1:10">
      <c r="A45">
        <f>Entry!B46</f>
        <v>219</v>
      </c>
      <c r="B45" t="str">
        <f>Entry!A46</f>
        <v>control 2</v>
      </c>
      <c r="C45">
        <f>Results!K45</f>
        <v>0.60099999999999998</v>
      </c>
      <c r="F45">
        <f>Results!P45</f>
        <v>0.11934932000000015</v>
      </c>
    </row>
    <row r="46" spans="1:10">
      <c r="A46">
        <f>Entry!B47</f>
        <v>220</v>
      </c>
      <c r="B46" t="str">
        <f>Entry!A47</f>
        <v>control 3</v>
      </c>
      <c r="C46">
        <f>Results!K46</f>
        <v>0.79400000000000004</v>
      </c>
      <c r="D46">
        <f>AVERAGE(C44:C460)</f>
        <v>0.74816666666666665</v>
      </c>
      <c r="E46">
        <f>_xlfn.STDEV.S(C44:C46)</f>
        <v>9.6572943070682718E-2</v>
      </c>
      <c r="F46">
        <f>Results!P46</f>
        <v>0.11973808000000011</v>
      </c>
      <c r="G46">
        <f>AVERAGE(F44:F46)</f>
        <v>0.11473603466666682</v>
      </c>
      <c r="H46">
        <f>_xlfn.STDEV.S(F44:F46)</f>
        <v>8.3293890205947876E-3</v>
      </c>
      <c r="I46">
        <f t="shared" si="0"/>
        <v>0.15335625038984205</v>
      </c>
      <c r="J46">
        <f>(SQRT((E46/D46)^2+(H46/G46)^2))*I46</f>
        <v>2.2711071272765639E-2</v>
      </c>
    </row>
    <row r="47" spans="1:10">
      <c r="A47">
        <f>Entry!B48</f>
        <v>221</v>
      </c>
      <c r="B47" t="str">
        <f>Entry!A48</f>
        <v>NO3 4</v>
      </c>
      <c r="C47">
        <f>Results!K47</f>
        <v>0.84800000000000009</v>
      </c>
      <c r="F47">
        <f>Results!P47</f>
        <v>0.10418768000000028</v>
      </c>
    </row>
    <row r="48" spans="1:10">
      <c r="A48">
        <f>Entry!B49</f>
        <v>222</v>
      </c>
      <c r="B48" t="str">
        <f>Entry!A49</f>
        <v>NO3 5</v>
      </c>
      <c r="C48">
        <f>Results!K48</f>
        <v>0.88400000000000001</v>
      </c>
      <c r="F48">
        <f>Results!P48</f>
        <v>0.1057427200000001</v>
      </c>
    </row>
    <row r="49" spans="1:10">
      <c r="A49">
        <f>Entry!B50</f>
        <v>223</v>
      </c>
      <c r="B49" t="str">
        <f>Entry!A50</f>
        <v>NO3 6</v>
      </c>
      <c r="C49">
        <f>Results!K49</f>
        <v>0.94100000000000006</v>
      </c>
      <c r="D49">
        <f>AVERAGE(C47:C49)</f>
        <v>0.89100000000000001</v>
      </c>
      <c r="E49">
        <f>_xlfn.STDEV.S(C47:C49)</f>
        <v>4.689349635077341E-2</v>
      </c>
      <c r="F49">
        <f>Results!P49</f>
        <v>0.12370343200000003</v>
      </c>
      <c r="G49">
        <f>AVERAGE(F47:F49)</f>
        <v>0.11121127733333347</v>
      </c>
      <c r="H49">
        <f>_xlfn.STDEV.S(F47:F49)</f>
        <v>1.0846427223392005E-2</v>
      </c>
      <c r="I49">
        <f t="shared" si="0"/>
        <v>0.12481624841002634</v>
      </c>
      <c r="J49">
        <f>(SQRT((E49/D49)^2+(H49/G49)^2))*I49</f>
        <v>1.3832671557412017E-2</v>
      </c>
    </row>
    <row r="50" spans="1:10">
      <c r="A50">
        <f>Entry!B51</f>
        <v>224</v>
      </c>
      <c r="B50" t="str">
        <f>Entry!A51</f>
        <v>SAMW 7</v>
      </c>
      <c r="C50">
        <f>Results!K50</f>
        <v>0.84200000000000008</v>
      </c>
      <c r="F50">
        <f>Results!P50</f>
        <v>8.3661152000000114E-2</v>
      </c>
    </row>
    <row r="51" spans="1:10">
      <c r="A51">
        <f>Entry!B52</f>
        <v>225</v>
      </c>
      <c r="B51" t="str">
        <f>Entry!A52</f>
        <v>SAMW 8</v>
      </c>
      <c r="C51">
        <f>Results!K51</f>
        <v>0.878</v>
      </c>
      <c r="F51">
        <f>Results!P51</f>
        <v>0.12455870400000009</v>
      </c>
    </row>
    <row r="52" spans="1:10">
      <c r="A52">
        <f>Entry!B53</f>
        <v>226</v>
      </c>
      <c r="B52" t="str">
        <f>Entry!A53</f>
        <v>SAMW 9</v>
      </c>
      <c r="C52">
        <f>Results!K52</f>
        <v>0.76800000000000002</v>
      </c>
      <c r="D52">
        <f>AVERAGE(C50:C52)</f>
        <v>0.82933333333333348</v>
      </c>
      <c r="E52">
        <f>_xlfn.STDEV.S(C50:C52)</f>
        <v>5.608327142146162E-2</v>
      </c>
      <c r="F52">
        <f>Results!P52</f>
        <v>0.10947481600000038</v>
      </c>
      <c r="G52">
        <f>AVERAGE(F50:F52)</f>
        <v>0.10589822400000019</v>
      </c>
      <c r="H52">
        <f>_xlfn.STDEV.S(F50:F52)</f>
        <v>2.0682032000000027E-2</v>
      </c>
      <c r="I52">
        <f t="shared" si="0"/>
        <v>0.12769078456591662</v>
      </c>
      <c r="J52">
        <f>(SQRT((E52/D52)^2+(H52/G52)^2))*I52</f>
        <v>2.6390805534957752E-2</v>
      </c>
    </row>
    <row r="53" spans="1:10">
      <c r="A53">
        <f>Entry!B54</f>
        <v>227</v>
      </c>
      <c r="B53" t="str">
        <f>Entry!A54</f>
        <v>Si 10</v>
      </c>
      <c r="C53">
        <f>Results!K53</f>
        <v>0.65600000000000003</v>
      </c>
      <c r="F53">
        <f>Results!P53</f>
        <v>5.1782832000000167E-2</v>
      </c>
    </row>
    <row r="54" spans="1:10">
      <c r="A54">
        <f>Entry!B55</f>
        <v>228</v>
      </c>
      <c r="B54" t="str">
        <f>Entry!A55</f>
        <v>Si 11</v>
      </c>
      <c r="C54">
        <f>Results!K54</f>
        <v>0.68900000000000006</v>
      </c>
      <c r="F54">
        <f>Results!P54</f>
        <v>0.13070111200000029</v>
      </c>
    </row>
    <row r="55" spans="1:10">
      <c r="A55">
        <f>Entry!B56</f>
        <v>229</v>
      </c>
      <c r="B55" t="str">
        <f>Entry!A56</f>
        <v>Si 12</v>
      </c>
      <c r="C55">
        <f>Results!K55</f>
        <v>0.65700000000000003</v>
      </c>
      <c r="D55">
        <f>AVERAGE(C53:C55)</f>
        <v>0.66733333333333344</v>
      </c>
      <c r="E55">
        <f>_xlfn.STDEV.S(C53:C55)</f>
        <v>1.8770544300401468E-2</v>
      </c>
      <c r="F55">
        <f>Results!P55</f>
        <v>8.2028359999999953E-2</v>
      </c>
      <c r="G55">
        <f>AVERAGE(F53:F55)</f>
        <v>8.8170768000000135E-2</v>
      </c>
      <c r="H55">
        <f>_xlfn.STDEV.S(F53:F55)</f>
        <v>3.9816084834755579E-2</v>
      </c>
      <c r="I55">
        <f t="shared" si="0"/>
        <v>0.13212402797202816</v>
      </c>
      <c r="J55">
        <f>(SQRT((E55/D55)^2+(H55/G55)^2))*I55</f>
        <v>5.97800914119761E-2</v>
      </c>
    </row>
    <row r="56" spans="1:10">
      <c r="A56">
        <f>Entry!B57</f>
        <v>230</v>
      </c>
      <c r="B56" t="str">
        <f>Entry!A57</f>
        <v>Fe + Si 13</v>
      </c>
      <c r="C56">
        <f>Results!K56</f>
        <v>0.68600000000000005</v>
      </c>
      <c r="F56">
        <f>Results!P56</f>
        <v>9.7189999999999999E-2</v>
      </c>
    </row>
    <row r="57" spans="1:10">
      <c r="A57">
        <f>Entry!B58</f>
        <v>231</v>
      </c>
      <c r="B57" t="str">
        <f>Entry!A58</f>
        <v>Fe + Si 14</v>
      </c>
      <c r="C57">
        <f>Results!K57</f>
        <v>0.79100000000000004</v>
      </c>
      <c r="F57">
        <f>Results!P57</f>
        <v>6.1190823999999991E-2</v>
      </c>
    </row>
    <row r="58" spans="1:10">
      <c r="A58">
        <f>Entry!B59</f>
        <v>232</v>
      </c>
      <c r="B58" t="str">
        <f>Entry!A59</f>
        <v>Fe + Si 15</v>
      </c>
      <c r="C58">
        <f>Results!K58</f>
        <v>0.74900000000000011</v>
      </c>
      <c r="D58">
        <f>AVERAGE(C56:C58)</f>
        <v>0.74199999999999999</v>
      </c>
      <c r="E58">
        <f>_xlfn.STDEV.S(C56:C58)</f>
        <v>5.2848841046895238E-2</v>
      </c>
      <c r="F58">
        <f>Results!P58</f>
        <v>0.10706450400000012</v>
      </c>
      <c r="G58">
        <f>AVERAGE(F56:F58)</f>
        <v>8.8481776000000026E-2</v>
      </c>
      <c r="H58">
        <f>_xlfn.STDEV.S(F56:F58)</f>
        <v>2.414484423456149E-2</v>
      </c>
      <c r="I58">
        <f t="shared" si="0"/>
        <v>0.11924767654986526</v>
      </c>
      <c r="J58">
        <f>(SQRT((E58/D58)^2+(H58/G58)^2))*I58</f>
        <v>3.3630400216958428E-2</v>
      </c>
    </row>
    <row r="59" spans="1:10">
      <c r="A59">
        <f>Entry!B60</f>
        <v>233</v>
      </c>
      <c r="B59" t="str">
        <f>Entry!A60</f>
        <v>Fe 16</v>
      </c>
      <c r="C59">
        <f>Results!K59</f>
        <v>0.67600000000000005</v>
      </c>
      <c r="F59">
        <f>Results!P59</f>
        <v>9.3302400000001822E-3</v>
      </c>
    </row>
    <row r="60" spans="1:10">
      <c r="A60">
        <f>Entry!B61</f>
        <v>234</v>
      </c>
      <c r="B60" t="str">
        <f>Entry!A61</f>
        <v>Fe 17</v>
      </c>
      <c r="C60">
        <f>Results!K60</f>
        <v>0.66100000000000003</v>
      </c>
      <c r="F60">
        <f>Results!P60</f>
        <v>0.11359567200000009</v>
      </c>
    </row>
    <row r="61" spans="1:10">
      <c r="A61">
        <f>Entry!B62</f>
        <v>235</v>
      </c>
      <c r="B61" t="str">
        <f>Entry!A62</f>
        <v>Fe 18</v>
      </c>
      <c r="C61">
        <f>Results!K61</f>
        <v>0.64200000000000002</v>
      </c>
      <c r="D61">
        <f>AVERAGE(C59:C61)</f>
        <v>0.65966666666666673</v>
      </c>
      <c r="E61">
        <f>_xlfn.STDEV.S(C59:C61)</f>
        <v>1.703917055884276E-2</v>
      </c>
      <c r="F61">
        <f>Results!P61</f>
        <v>-6.8421759999999377E-3</v>
      </c>
      <c r="G61">
        <f>AVERAGE(F59:F61)</f>
        <v>3.8694578666666778E-2</v>
      </c>
      <c r="H61">
        <f>_xlfn.STDEV.S(F59:F61)</f>
        <v>6.5368318753933063E-2</v>
      </c>
      <c r="I61">
        <f t="shared" si="0"/>
        <v>5.8657774633653521E-2</v>
      </c>
      <c r="J61">
        <f>(SQRT((E61/D61)^2+(H61/G61)^2))*I61</f>
        <v>9.9104536610153338E-2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Entry</vt:lpstr>
      <vt:lpstr>Results</vt:lpstr>
      <vt:lpstr>simbios</vt:lpstr>
      <vt:lpstr>stn info</vt:lpstr>
      <vt:lpstr>stats &amp; calculations</vt:lpstr>
      <vt:lpstr>Mean chl vs time plot</vt:lpstr>
      <vt:lpstr>Mean Phaeo vs time plot</vt:lpstr>
      <vt:lpstr>Mean Phaeo ovr Chl plot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William Balch</cp:lastModifiedBy>
  <dcterms:created xsi:type="dcterms:W3CDTF">2000-06-14T20:13:41Z</dcterms:created>
  <dcterms:modified xsi:type="dcterms:W3CDTF">2020-02-22T12:18:55Z</dcterms:modified>
</cp:coreProperties>
</file>